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1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 codeName="{B6124F1A-AFFB-F854-7757-9A1D4C6FC43C}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Cécile\Desktop\FICHIER PRIX en cours\Nomenclatures à faire\"/>
    </mc:Choice>
  </mc:AlternateContent>
  <xr:revisionPtr revIDLastSave="0" documentId="13_ncr:1_{1FA35C2D-CB8C-47A2-A9A6-CD9318EF1A52}" xr6:coauthVersionLast="47" xr6:coauthVersionMax="47" xr10:uidLastSave="{00000000-0000-0000-0000-000000000000}"/>
  <bookViews>
    <workbookView xWindow="20370" yWindow="-120" windowWidth="29040" windowHeight="15840" activeTab="1" xr2:uid="{00000000-000D-0000-FFFF-FFFF00000000}"/>
  </bookViews>
  <sheets>
    <sheet name="Instructions" sheetId="1" r:id="rId1"/>
    <sheet name="Définition PERGOSOLAR" sheetId="11" r:id="rId2"/>
    <sheet name="Nomenclature CONFORT" sheetId="2" state="hidden" r:id="rId3"/>
    <sheet name="Vue rapide PG CONFORT" sheetId="9" state="hidden" r:id="rId4"/>
    <sheet name="Nomenclature HARMONY" sheetId="12" r:id="rId5"/>
    <sheet name="Vue rapide PG HARMONY" sheetId="13" state="hidden" r:id="rId6"/>
    <sheet name="Traduction" sheetId="3" state="hidden" r:id="rId7"/>
    <sheet name="SAV" sheetId="4" state="hidden" r:id="rId8"/>
    <sheet name="Liste Module  Onduleur,.." sheetId="5" state="hidden" r:id="rId9"/>
    <sheet name="Info" sheetId="6" state="hidden" r:id="rId10"/>
    <sheet name="Catalogue" sheetId="7" state="hidden" r:id="rId11"/>
    <sheet name="Feuil1" sheetId="8" state="hidden" r:id="rId12"/>
  </sheets>
  <externalReferences>
    <externalReference r:id="rId13"/>
    <externalReference r:id="rId14"/>
  </externalReferences>
  <definedNames>
    <definedName name="_xlnm._FilterDatabase" localSheetId="2" hidden="1">'Nomenclature CONFORT'!$A$6:$M$79</definedName>
    <definedName name="_xlnm._FilterDatabase" localSheetId="4" hidden="1">'Nomenclature HARMONY'!$A$6:$M$75</definedName>
    <definedName name="_xlnm._FilterDatabase" localSheetId="6" hidden="1">Traduction!$A$8:$F$78</definedName>
    <definedName name="Bioclimatique" localSheetId="3">INDIRECT(VLOOKUP([1]Catalogue!$K$68,[1]Catalogue!$K$18:$L$67,2,FALSE))</definedName>
    <definedName name="Bioclimatique" localSheetId="5">INDIRECT(VLOOKUP([1]Catalogue!$K$68,[1]Catalogue!$K$18:$L$67,2,FALSE))</definedName>
    <definedName name="Bioclimatique">INDIRECT(VLOOKUP(Catalogue!$K$68,Catalogue!$K$18:$L$67,2,FALSE))</definedName>
    <definedName name="configurations">#REF!</definedName>
    <definedName name="configurationsPaysage">#REF!</definedName>
    <definedName name="Dimensions" localSheetId="3">INDIRECT(VLOOKUP([1]Catalogue!$Q$15,[1]Catalogue!$Q$13:$S$14,2,FALSE))</definedName>
    <definedName name="Dimensions" localSheetId="5">INDIRECT(VLOOKUP([1]Catalogue!$Q$15,[1]Catalogue!$Q$13:$S$14,2,FALSE))</definedName>
    <definedName name="Dimensions">INDIRECT(VLOOKUP(Catalogue!$Q$15,Catalogue!$Q$13:$S$14,2,FALSE))</definedName>
    <definedName name="images" localSheetId="3">INDIRECT(VLOOKUP('[1]Définition Pergosolar'!$G$10,[1]Catalogue!$C$4:$E$15,2,FALSE))</definedName>
    <definedName name="images" localSheetId="5">INDIRECT(VLOOKUP('[1]Définition Pergosolar'!$G$10,[1]Catalogue!$C$4:$E$15,2,FALSE))</definedName>
    <definedName name="images">INDIRECT(VLOOKUP('Définition PERGOSOLAR'!$G$11,Catalogue!$C$4:$E$15,2,FALSE))</definedName>
    <definedName name="LED" localSheetId="3">INDIRECT(VLOOKUP([1]Catalogue!$D$136,[1]Catalogue!$D$71:$G$135,2,FALSE))</definedName>
    <definedName name="LED" localSheetId="5">INDIRECT(VLOOKUP([1]Catalogue!$D$136,[1]Catalogue!$D$71:$G$135,2,FALSE))</definedName>
    <definedName name="LED">INDIRECT(VLOOKUP(Catalogue!$D$136,Catalogue!$D$71:$G$135,2,FALSE))</definedName>
    <definedName name="lignes" localSheetId="3">INDIRECT(VLOOKUP([1]Catalogue!$E$68,[1]Catalogue!$E$18:$G$67,2,FALSE))</definedName>
    <definedName name="lignes" localSheetId="5">INDIRECT(VLOOKUP([1]Catalogue!$E$68,[1]Catalogue!$E$18:$G$67,2,FALSE))</definedName>
    <definedName name="lignes">INDIRECT(VLOOKUP(Catalogue!$E$68,Catalogue!$E$18:$G$67,2,FALSE))</definedName>
    <definedName name="onduleurs">#REF!</definedName>
    <definedName name="onduleursPaysage">#REF!</definedName>
    <definedName name="Pas">'[2]Nb crochet'!$BX$5</definedName>
    <definedName name="Port_a_faux_maxi">'[2]Nb crochet'!$BX$6</definedName>
    <definedName name="Screen" localSheetId="3">INDIRECT(VLOOKUP([1]Catalogue!$H$178,[1]Catalogue!$D$140:$F$177,2,FALSE))</definedName>
    <definedName name="Screen" localSheetId="5">INDIRECT(VLOOKUP([1]Catalogue!$H$178,[1]Catalogue!$D$140:$F$177,2,FALSE))</definedName>
    <definedName name="Screen">INDIRECT(VLOOKUP(Catalogue!$H$178,Catalogue!$D$140:$F$177,2,FALSE))</definedName>
    <definedName name="Z_16FE1FF2_BD92_4856_8ACC_875F5889A685_.wvu.PrintArea" localSheetId="0" hidden="1">Instructions!$B$2:$Q$61</definedName>
    <definedName name="Z_D8D7B009_33DC_454B_9FCD_4FE65C8432CF_.wvu.FilterData" localSheetId="2" hidden="1">'Nomenclature CONFORT'!$A$6:$M$79</definedName>
    <definedName name="Z_D8D7B009_33DC_454B_9FCD_4FE65C8432CF_.wvu.FilterData" localSheetId="4" hidden="1">'Nomenclature HARMONY'!$A$6:$M$75</definedName>
    <definedName name="Z_D8D7B009_33DC_454B_9FCD_4FE65C8432CF_.wvu.PrintArea" localSheetId="0" hidden="1">Instructions!$B$2:$Q$61</definedName>
    <definedName name="Z_D8D7B009_33DC_454B_9FCD_4FE65C8432CF_.wvu.PrintArea" localSheetId="2" hidden="1">'Nomenclature CONFORT'!$A$4:$AB$80</definedName>
    <definedName name="Z_D8D7B009_33DC_454B_9FCD_4FE65C8432CF_.wvu.PrintArea" localSheetId="4" hidden="1">'Nomenclature HARMONY'!$A$4:$AB$76</definedName>
    <definedName name="Z_D8D7B009_33DC_454B_9FCD_4FE65C8432CF_.wvu.PrintArea" localSheetId="7" hidden="1">SAV!$A$1:$R$56</definedName>
    <definedName name="_xlnm.Print_Area" localSheetId="0">Instructions!$B$2:$Q$61</definedName>
    <definedName name="_xlnm.Print_Area" localSheetId="2">'Nomenclature CONFORT'!$A$4:$J$81</definedName>
    <definedName name="_xlnm.Print_Area" localSheetId="4">'Nomenclature HARMONY'!$A$4:$J$77</definedName>
    <definedName name="_xlnm.Print_Area" localSheetId="7">SAV!$A$1:$R$56</definedName>
    <definedName name="_xlnm.Print_Area" localSheetId="3">'Vue rapide PG CONFORT'!$A$1:$P$35</definedName>
    <definedName name="_xlnm.Print_Area" localSheetId="5">'Vue rapide PG HARMONY'!$A$1:$P$35</definedName>
  </definedNames>
  <calcPr calcId="181029" concurrentCalc="0"/>
  <customWorkbookViews>
    <customWorkbookView name="Franck - Affichage personnalisé" guid="{D8D7B009-33DC-454B-9FCD-4FE65C8432CF}" mergeInterval="0" personalView="1" maximized="1" windowWidth="1920" windowHeight="835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2" i="2" l="1"/>
  <c r="I63" i="2"/>
  <c r="I64" i="2"/>
  <c r="I61" i="2"/>
  <c r="F65" i="2"/>
  <c r="C65" i="2"/>
  <c r="F61" i="12"/>
  <c r="C61" i="12"/>
  <c r="I44" i="2"/>
  <c r="O17" i="9"/>
  <c r="M17" i="9"/>
  <c r="K17" i="9"/>
  <c r="I17" i="9"/>
  <c r="G17" i="9"/>
  <c r="E17" i="9"/>
  <c r="O17" i="13"/>
  <c r="M17" i="13"/>
  <c r="K17" i="13"/>
  <c r="I17" i="13"/>
  <c r="G17" i="13"/>
  <c r="E17" i="13"/>
  <c r="O11" i="9"/>
  <c r="O10" i="9"/>
  <c r="M11" i="9"/>
  <c r="M10" i="9"/>
  <c r="I11" i="9"/>
  <c r="I10" i="9"/>
  <c r="G11" i="9"/>
  <c r="G10" i="9"/>
  <c r="E11" i="9"/>
  <c r="E10" i="9"/>
  <c r="K10" i="9"/>
  <c r="G76" i="2"/>
  <c r="O11" i="13"/>
  <c r="O10" i="13"/>
  <c r="M11" i="13"/>
  <c r="M10" i="13"/>
  <c r="I11" i="13"/>
  <c r="I10" i="13"/>
  <c r="G11" i="13"/>
  <c r="G10" i="13"/>
  <c r="E10" i="13"/>
  <c r="E11" i="13"/>
  <c r="A2" i="2"/>
  <c r="A2" i="12"/>
  <c r="M2" i="9"/>
  <c r="M2" i="13"/>
  <c r="O24" i="13"/>
  <c r="O22" i="13"/>
  <c r="O21" i="13"/>
  <c r="O20" i="13"/>
  <c r="O19" i="13"/>
  <c r="O18" i="13"/>
  <c r="O16" i="13"/>
  <c r="O15" i="13"/>
  <c r="O14" i="13"/>
  <c r="M24" i="13"/>
  <c r="M22" i="13"/>
  <c r="M21" i="13"/>
  <c r="M20" i="13"/>
  <c r="M19" i="13"/>
  <c r="M18" i="13"/>
  <c r="M16" i="13"/>
  <c r="M15" i="13"/>
  <c r="M14" i="13"/>
  <c r="K24" i="13"/>
  <c r="K22" i="13"/>
  <c r="K21" i="13"/>
  <c r="K20" i="13"/>
  <c r="K19" i="13"/>
  <c r="K18" i="13"/>
  <c r="K16" i="13"/>
  <c r="K15" i="13"/>
  <c r="K14" i="13"/>
  <c r="K11" i="13"/>
  <c r="K10" i="13"/>
  <c r="I24" i="13"/>
  <c r="I22" i="13"/>
  <c r="I21" i="13"/>
  <c r="I20" i="13"/>
  <c r="I19" i="13"/>
  <c r="I18" i="13"/>
  <c r="I16" i="13"/>
  <c r="I15" i="13"/>
  <c r="I14" i="13"/>
  <c r="G24" i="13"/>
  <c r="E19" i="13"/>
  <c r="G22" i="13"/>
  <c r="G21" i="13"/>
  <c r="G20" i="13"/>
  <c r="G19" i="13"/>
  <c r="G18" i="13"/>
  <c r="G16" i="13"/>
  <c r="G15" i="13"/>
  <c r="G14" i="13"/>
  <c r="E24" i="13"/>
  <c r="E22" i="13"/>
  <c r="E21" i="13"/>
  <c r="E20" i="13"/>
  <c r="E18" i="13"/>
  <c r="E16" i="13"/>
  <c r="E15" i="13"/>
  <c r="E14" i="13"/>
  <c r="O5" i="13"/>
  <c r="M5" i="13"/>
  <c r="K5" i="13"/>
  <c r="I5" i="13"/>
  <c r="G5" i="13"/>
  <c r="E5" i="13"/>
  <c r="O5" i="9"/>
  <c r="M5" i="9"/>
  <c r="K5" i="9"/>
  <c r="I5" i="9"/>
  <c r="G5" i="9"/>
  <c r="E5" i="9"/>
  <c r="G74" i="12"/>
  <c r="I74" i="12"/>
  <c r="G73" i="12"/>
  <c r="I73" i="12"/>
  <c r="G72" i="12"/>
  <c r="I72" i="12"/>
  <c r="G69" i="12"/>
  <c r="I69" i="12"/>
  <c r="G68" i="12"/>
  <c r="I68" i="12"/>
  <c r="G66" i="12"/>
  <c r="I66" i="12"/>
  <c r="G65" i="12"/>
  <c r="I65" i="12"/>
  <c r="G64" i="12"/>
  <c r="I64" i="12"/>
  <c r="G63" i="12"/>
  <c r="I63" i="12"/>
  <c r="G38" i="12"/>
  <c r="I38" i="12"/>
  <c r="G37" i="12"/>
  <c r="I37" i="12"/>
  <c r="G34" i="12"/>
  <c r="I34" i="12"/>
  <c r="G33" i="12"/>
  <c r="I33" i="12"/>
  <c r="G28" i="12"/>
  <c r="I28" i="12"/>
  <c r="G27" i="12"/>
  <c r="I27" i="12"/>
  <c r="G23" i="12"/>
  <c r="I23" i="12"/>
  <c r="G22" i="12"/>
  <c r="I22" i="12"/>
  <c r="G21" i="12"/>
  <c r="I21" i="12"/>
  <c r="G20" i="12"/>
  <c r="I20" i="12"/>
  <c r="G19" i="12"/>
  <c r="I19" i="12"/>
  <c r="G18" i="12"/>
  <c r="I18" i="12"/>
  <c r="G17" i="12"/>
  <c r="I17" i="12"/>
  <c r="G16" i="12"/>
  <c r="I16" i="12"/>
  <c r="G15" i="12"/>
  <c r="I15" i="12"/>
  <c r="G14" i="12"/>
  <c r="I14" i="12"/>
  <c r="G13" i="12"/>
  <c r="I13" i="12"/>
  <c r="G12" i="12"/>
  <c r="I12" i="12"/>
  <c r="G11" i="12"/>
  <c r="I11" i="12"/>
  <c r="G10" i="12"/>
  <c r="G9" i="12"/>
  <c r="I9" i="12"/>
  <c r="G8" i="12"/>
  <c r="I8" i="12"/>
  <c r="G7" i="12"/>
  <c r="N5" i="7"/>
  <c r="N6" i="7"/>
  <c r="N7" i="7"/>
  <c r="N10" i="7"/>
  <c r="N11" i="7"/>
  <c r="N12" i="7"/>
  <c r="N13" i="7"/>
  <c r="N14" i="7"/>
  <c r="N15" i="7"/>
  <c r="G61" i="12"/>
  <c r="G70" i="12"/>
  <c r="G71" i="12"/>
  <c r="I71" i="12"/>
  <c r="X29" i="6"/>
  <c r="G67" i="12"/>
  <c r="I67" i="12"/>
  <c r="I10" i="12"/>
  <c r="I70" i="12"/>
  <c r="I7" i="12"/>
  <c r="G13" i="11"/>
  <c r="M42" i="11"/>
  <c r="J14" i="11"/>
  <c r="B5" i="7"/>
  <c r="J16" i="11"/>
  <c r="K14" i="11"/>
  <c r="L25" i="11"/>
  <c r="M26" i="11"/>
  <c r="M30" i="11"/>
  <c r="L39" i="11"/>
  <c r="L41" i="11"/>
  <c r="H43" i="11"/>
  <c r="M69" i="11"/>
  <c r="K11" i="9"/>
  <c r="O15" i="9"/>
  <c r="M15" i="9"/>
  <c r="K15" i="9"/>
  <c r="I15" i="9"/>
  <c r="G15" i="9"/>
  <c r="E15" i="9"/>
  <c r="E16" i="9"/>
  <c r="G34" i="2"/>
  <c r="G33" i="2"/>
  <c r="I33" i="2"/>
  <c r="I34" i="2"/>
  <c r="G65" i="2"/>
  <c r="I65" i="2"/>
  <c r="O21" i="6"/>
  <c r="O19" i="6"/>
  <c r="O17" i="6"/>
  <c r="G78" i="2"/>
  <c r="I78" i="2"/>
  <c r="O22" i="9"/>
  <c r="M22" i="9"/>
  <c r="K22" i="9"/>
  <c r="I22" i="9"/>
  <c r="G22" i="9"/>
  <c r="E22" i="9"/>
  <c r="O21" i="9"/>
  <c r="M21" i="9"/>
  <c r="K21" i="9"/>
  <c r="I21" i="9"/>
  <c r="G21" i="9"/>
  <c r="E21" i="9"/>
  <c r="O19" i="9"/>
  <c r="M19" i="9"/>
  <c r="K19" i="9"/>
  <c r="I19" i="9"/>
  <c r="G19" i="9"/>
  <c r="E19" i="9"/>
  <c r="O18" i="9"/>
  <c r="M18" i="9"/>
  <c r="K18" i="9"/>
  <c r="I18" i="9"/>
  <c r="G18" i="9"/>
  <c r="E18" i="9"/>
  <c r="G67" i="2"/>
  <c r="G70" i="2"/>
  <c r="I70" i="2"/>
  <c r="G69" i="2"/>
  <c r="I69" i="2"/>
  <c r="G68" i="2"/>
  <c r="I68" i="2"/>
  <c r="G73" i="2"/>
  <c r="I73" i="2"/>
  <c r="G72" i="2"/>
  <c r="I72" i="2"/>
  <c r="I67" i="2"/>
  <c r="G71" i="2"/>
  <c r="I71" i="2"/>
  <c r="B1" i="3"/>
  <c r="A498" i="3"/>
  <c r="A502" i="3"/>
  <c r="A499" i="3"/>
  <c r="A503" i="3"/>
  <c r="A500" i="3"/>
  <c r="A504" i="3"/>
  <c r="A501" i="3"/>
  <c r="A505" i="3"/>
  <c r="A494" i="3"/>
  <c r="I45" i="11"/>
  <c r="A495" i="3"/>
  <c r="A496" i="3"/>
  <c r="A497" i="3"/>
  <c r="A418" i="3"/>
  <c r="F12" i="12"/>
  <c r="A417" i="3"/>
  <c r="F11" i="12"/>
  <c r="A413" i="3"/>
  <c r="F7" i="12"/>
  <c r="A419" i="3"/>
  <c r="F13" i="12"/>
  <c r="A423" i="3"/>
  <c r="F17" i="12"/>
  <c r="A427" i="3"/>
  <c r="F20" i="12"/>
  <c r="A431" i="3"/>
  <c r="C22" i="12"/>
  <c r="A435" i="3"/>
  <c r="F26" i="12"/>
  <c r="A439" i="3"/>
  <c r="C31" i="12"/>
  <c r="A443" i="3"/>
  <c r="F31" i="12"/>
  <c r="A447" i="3"/>
  <c r="C38" i="12"/>
  <c r="A451" i="3"/>
  <c r="A455" i="3"/>
  <c r="A459" i="3"/>
  <c r="C49" i="12"/>
  <c r="A463" i="3"/>
  <c r="C53" i="12"/>
  <c r="A467" i="3"/>
  <c r="C57" i="12"/>
  <c r="A471" i="3"/>
  <c r="F45" i="12"/>
  <c r="A475" i="3"/>
  <c r="F49" i="12"/>
  <c r="A479" i="3"/>
  <c r="F53" i="12"/>
  <c r="A483" i="3"/>
  <c r="F57" i="12"/>
  <c r="A487" i="3"/>
  <c r="C67" i="12"/>
  <c r="A491" i="3"/>
  <c r="A465" i="3"/>
  <c r="C55" i="12"/>
  <c r="A414" i="3"/>
  <c r="F8" i="12"/>
  <c r="A420" i="3"/>
  <c r="F14" i="12"/>
  <c r="A424" i="3"/>
  <c r="F18" i="12"/>
  <c r="A428" i="3"/>
  <c r="F21" i="12"/>
  <c r="A432" i="3"/>
  <c r="C23" i="12"/>
  <c r="A436" i="3"/>
  <c r="F27" i="12"/>
  <c r="A440" i="3"/>
  <c r="C32" i="12"/>
  <c r="A444" i="3"/>
  <c r="F32" i="12"/>
  <c r="A448" i="3"/>
  <c r="C37" i="12"/>
  <c r="A452" i="3"/>
  <c r="A456" i="3"/>
  <c r="C46" i="12"/>
  <c r="A460" i="3"/>
  <c r="C50" i="12"/>
  <c r="A464" i="3"/>
  <c r="C54" i="12"/>
  <c r="A468" i="3"/>
  <c r="C58" i="12"/>
  <c r="A472" i="3"/>
  <c r="F46" i="12"/>
  <c r="A476" i="3"/>
  <c r="F50" i="12"/>
  <c r="A480" i="3"/>
  <c r="F54" i="12"/>
  <c r="A484" i="3"/>
  <c r="F58" i="12"/>
  <c r="A488" i="3"/>
  <c r="F67" i="12"/>
  <c r="A492" i="3"/>
  <c r="F20" i="11"/>
  <c r="A415" i="3"/>
  <c r="F9" i="12"/>
  <c r="A421" i="3"/>
  <c r="F15" i="12"/>
  <c r="A425" i="3"/>
  <c r="C20" i="12"/>
  <c r="A429" i="3"/>
  <c r="F22" i="12"/>
  <c r="A433" i="3"/>
  <c r="C26" i="12"/>
  <c r="A437" i="3"/>
  <c r="C29" i="12"/>
  <c r="A441" i="3"/>
  <c r="F29" i="12"/>
  <c r="A445" i="3"/>
  <c r="C34" i="12"/>
  <c r="A449" i="3"/>
  <c r="F37" i="12"/>
  <c r="A453" i="3"/>
  <c r="A457" i="3"/>
  <c r="C47" i="12"/>
  <c r="A461" i="3"/>
  <c r="C51" i="12"/>
  <c r="A469" i="3"/>
  <c r="C59" i="12"/>
  <c r="A473" i="3"/>
  <c r="F47" i="12"/>
  <c r="A477" i="3"/>
  <c r="F51" i="12"/>
  <c r="A481" i="3"/>
  <c r="F55" i="12"/>
  <c r="A485" i="3"/>
  <c r="F59" i="12"/>
  <c r="A489" i="3"/>
  <c r="A493" i="3"/>
  <c r="A416" i="3"/>
  <c r="F10" i="12"/>
  <c r="A422" i="3"/>
  <c r="F16" i="12"/>
  <c r="A426" i="3"/>
  <c r="C21" i="12"/>
  <c r="A430" i="3"/>
  <c r="F23" i="12"/>
  <c r="A434" i="3"/>
  <c r="C27" i="12"/>
  <c r="A438" i="3"/>
  <c r="C30" i="12"/>
  <c r="A442" i="3"/>
  <c r="F30" i="12"/>
  <c r="A446" i="3"/>
  <c r="F34" i="12"/>
  <c r="A450" i="3"/>
  <c r="F38" i="12"/>
  <c r="A454" i="3"/>
  <c r="A458" i="3"/>
  <c r="C48" i="12"/>
  <c r="A462" i="3"/>
  <c r="C52" i="12"/>
  <c r="A466" i="3"/>
  <c r="C56" i="12"/>
  <c r="A470" i="3"/>
  <c r="C60" i="12"/>
  <c r="A474" i="3"/>
  <c r="F48" i="12"/>
  <c r="A478" i="3"/>
  <c r="F52" i="12"/>
  <c r="A482" i="3"/>
  <c r="F56" i="12"/>
  <c r="A486" i="3"/>
  <c r="F60" i="12"/>
  <c r="A490" i="3"/>
  <c r="A406" i="3"/>
  <c r="C12" i="12"/>
  <c r="A408" i="3"/>
  <c r="C14" i="12"/>
  <c r="A412" i="3"/>
  <c r="C18" i="12"/>
  <c r="A405" i="3"/>
  <c r="C11" i="12"/>
  <c r="A409" i="3"/>
  <c r="C15" i="12"/>
  <c r="A404" i="3"/>
  <c r="C10" i="12"/>
  <c r="A410" i="3"/>
  <c r="C16" i="12"/>
  <c r="A407" i="3"/>
  <c r="C13" i="12"/>
  <c r="A411" i="3"/>
  <c r="C17" i="12"/>
  <c r="A400" i="3"/>
  <c r="A58" i="11"/>
  <c r="A394" i="3"/>
  <c r="F8" i="11"/>
  <c r="A402" i="3"/>
  <c r="C8" i="12"/>
  <c r="A403" i="3"/>
  <c r="C9" i="12"/>
  <c r="A397" i="3"/>
  <c r="F11" i="11"/>
  <c r="A401" i="3"/>
  <c r="C7" i="12"/>
  <c r="A395" i="3"/>
  <c r="F9" i="11"/>
  <c r="A398" i="3"/>
  <c r="F13" i="11"/>
  <c r="A396" i="3"/>
  <c r="F10" i="11"/>
  <c r="A399" i="3"/>
  <c r="A8" i="11"/>
  <c r="A386" i="3"/>
  <c r="Y3" i="6"/>
  <c r="A390" i="3"/>
  <c r="A387" i="3"/>
  <c r="Y2" i="6"/>
  <c r="A391" i="3"/>
  <c r="A388" i="3"/>
  <c r="F55" i="11"/>
  <c r="A392" i="3"/>
  <c r="A1" i="2"/>
  <c r="A389" i="3"/>
  <c r="F56" i="11"/>
  <c r="A393" i="3"/>
  <c r="A1" i="12"/>
  <c r="A377" i="3"/>
  <c r="A381" i="3"/>
  <c r="A385" i="3"/>
  <c r="A378" i="3"/>
  <c r="A382" i="3"/>
  <c r="A375" i="3"/>
  <c r="A379" i="3"/>
  <c r="F45" i="11"/>
  <c r="A383" i="3"/>
  <c r="A376" i="3"/>
  <c r="A380" i="3"/>
  <c r="F48" i="11"/>
  <c r="A384" i="3"/>
  <c r="O20" i="9"/>
  <c r="M20" i="9"/>
  <c r="K20" i="9"/>
  <c r="I20" i="9"/>
  <c r="G20" i="9"/>
  <c r="E20" i="9"/>
  <c r="C62" i="2"/>
  <c r="F62" i="2"/>
  <c r="C61" i="2"/>
  <c r="F61" i="2"/>
  <c r="C64" i="2"/>
  <c r="F64" i="2"/>
  <c r="G63" i="2"/>
  <c r="G61" i="2"/>
  <c r="G62" i="2"/>
  <c r="G64" i="2"/>
  <c r="C63" i="2"/>
  <c r="F63" i="2"/>
  <c r="C44" i="2"/>
  <c r="F44" i="12"/>
  <c r="F44" i="2"/>
  <c r="C44" i="12"/>
  <c r="C43" i="2"/>
  <c r="F43" i="12"/>
  <c r="F43" i="2"/>
  <c r="C43" i="12"/>
  <c r="C62" i="12"/>
  <c r="C66" i="2"/>
  <c r="F62" i="12"/>
  <c r="F66" i="2"/>
  <c r="C45" i="12"/>
  <c r="B18" i="9"/>
  <c r="B18" i="13"/>
  <c r="C68" i="12"/>
  <c r="F68" i="12"/>
  <c r="B22" i="9"/>
  <c r="B22" i="13"/>
  <c r="B19" i="9"/>
  <c r="B19" i="13"/>
  <c r="C69" i="12"/>
  <c r="F69" i="12"/>
  <c r="C66" i="12"/>
  <c r="F66" i="12"/>
  <c r="F49" i="11"/>
  <c r="F46" i="11"/>
  <c r="F71" i="2"/>
  <c r="F47" i="11"/>
  <c r="F50" i="11"/>
  <c r="C71" i="2"/>
  <c r="C74" i="12"/>
  <c r="F74" i="12"/>
  <c r="C70" i="2"/>
  <c r="F70" i="2"/>
  <c r="F78" i="2"/>
  <c r="C78" i="2"/>
  <c r="O24" i="9"/>
  <c r="M24" i="9"/>
  <c r="K24" i="9"/>
  <c r="I24" i="9"/>
  <c r="G24" i="9"/>
  <c r="E24" i="9"/>
  <c r="O16" i="9"/>
  <c r="M16" i="9"/>
  <c r="K16" i="9"/>
  <c r="I16" i="9"/>
  <c r="G16" i="9"/>
  <c r="O14" i="9"/>
  <c r="M14" i="9"/>
  <c r="G14" i="9"/>
  <c r="K14" i="9"/>
  <c r="I14" i="9"/>
  <c r="E14" i="9"/>
  <c r="G12" i="2"/>
  <c r="I12" i="2"/>
  <c r="G11" i="2"/>
  <c r="G9" i="2"/>
  <c r="I11" i="2"/>
  <c r="I21" i="6"/>
  <c r="I22" i="6"/>
  <c r="U9" i="6"/>
  <c r="E153" i="7"/>
  <c r="E154" i="7"/>
  <c r="E155" i="7"/>
  <c r="E156" i="7"/>
  <c r="E157" i="7"/>
  <c r="E158" i="7"/>
  <c r="E88" i="7"/>
  <c r="E89" i="7"/>
  <c r="E90" i="7"/>
  <c r="E91" i="7"/>
  <c r="E92" i="7"/>
  <c r="E93" i="7"/>
  <c r="E94" i="7"/>
  <c r="E95" i="7"/>
  <c r="E96" i="7"/>
  <c r="E97" i="7"/>
  <c r="E98" i="7"/>
  <c r="E87" i="7"/>
  <c r="L32" i="7"/>
  <c r="L33" i="7"/>
  <c r="L34" i="7"/>
  <c r="L35" i="7"/>
  <c r="L36" i="7"/>
  <c r="L37" i="7"/>
  <c r="L38" i="7"/>
  <c r="L39" i="7"/>
  <c r="F32" i="7"/>
  <c r="F33" i="7"/>
  <c r="F34" i="7"/>
  <c r="F35" i="7"/>
  <c r="F36" i="7"/>
  <c r="F37" i="7"/>
  <c r="F38" i="7"/>
  <c r="F39" i="7"/>
  <c r="D8" i="7"/>
  <c r="D9" i="7"/>
  <c r="P68" i="6"/>
  <c r="P67" i="6"/>
  <c r="P66" i="6"/>
  <c r="P65" i="6"/>
  <c r="R64" i="6"/>
  <c r="R63" i="6"/>
  <c r="R62" i="6"/>
  <c r="R61" i="6"/>
  <c r="G18" i="2"/>
  <c r="I18" i="2"/>
  <c r="G17" i="2"/>
  <c r="I17" i="2"/>
  <c r="G16" i="2"/>
  <c r="I16" i="2"/>
  <c r="G15" i="2"/>
  <c r="G14" i="2"/>
  <c r="I14" i="2"/>
  <c r="G13" i="2"/>
  <c r="I13" i="2"/>
  <c r="G10" i="2"/>
  <c r="G8" i="2"/>
  <c r="G7" i="2"/>
  <c r="G23" i="2"/>
  <c r="I23" i="2"/>
  <c r="G21" i="2"/>
  <c r="G75" i="2"/>
  <c r="I75" i="2"/>
  <c r="G74" i="2"/>
  <c r="I74" i="2"/>
  <c r="I15" i="2"/>
  <c r="I8" i="2"/>
  <c r="I10" i="2"/>
  <c r="I21" i="2"/>
  <c r="I7" i="2"/>
  <c r="I9" i="2"/>
  <c r="R14" i="7"/>
  <c r="R13" i="7"/>
  <c r="A357" i="3"/>
  <c r="B27" i="13"/>
  <c r="A347" i="3"/>
  <c r="A351" i="3"/>
  <c r="A355" i="3"/>
  <c r="A359" i="3"/>
  <c r="A363" i="3"/>
  <c r="A367" i="3"/>
  <c r="A371" i="3"/>
  <c r="A352" i="3"/>
  <c r="A356" i="3"/>
  <c r="A360" i="3"/>
  <c r="A368" i="3"/>
  <c r="A372" i="3"/>
  <c r="A353" i="3"/>
  <c r="A361" i="3"/>
  <c r="A354" i="3"/>
  <c r="A370" i="3"/>
  <c r="A348" i="3"/>
  <c r="A364" i="3"/>
  <c r="A349" i="3"/>
  <c r="B27" i="9"/>
  <c r="A365" i="3"/>
  <c r="A369" i="3"/>
  <c r="A373" i="3"/>
  <c r="A346" i="3"/>
  <c r="A350" i="3"/>
  <c r="A358" i="3"/>
  <c r="A362" i="3"/>
  <c r="A366" i="3"/>
  <c r="F52" i="11"/>
  <c r="A374" i="3"/>
  <c r="A331" i="3"/>
  <c r="A335" i="3"/>
  <c r="A339" i="3"/>
  <c r="A343" i="3"/>
  <c r="A332" i="3"/>
  <c r="A336" i="3"/>
  <c r="A340" i="3"/>
  <c r="A344" i="3"/>
  <c r="A333" i="3"/>
  <c r="A341" i="3"/>
  <c r="A345" i="3"/>
  <c r="A329" i="3"/>
  <c r="A330" i="3"/>
  <c r="A334" i="3"/>
  <c r="A338" i="3"/>
  <c r="A342" i="3"/>
  <c r="A337" i="3"/>
  <c r="A327" i="3"/>
  <c r="A328" i="3"/>
  <c r="A326" i="3"/>
  <c r="A275" i="3"/>
  <c r="A279" i="3"/>
  <c r="A283" i="3"/>
  <c r="A287" i="3"/>
  <c r="A291" i="3"/>
  <c r="A295" i="3"/>
  <c r="A299" i="3"/>
  <c r="A303" i="3"/>
  <c r="A307" i="3"/>
  <c r="A311" i="3"/>
  <c r="A315" i="3"/>
  <c r="A319" i="3"/>
  <c r="A323" i="3"/>
  <c r="A229" i="3"/>
  <c r="A241" i="3"/>
  <c r="A249" i="3"/>
  <c r="A257" i="3"/>
  <c r="A265" i="3"/>
  <c r="A273" i="3"/>
  <c r="A276" i="3"/>
  <c r="A280" i="3"/>
  <c r="A284" i="3"/>
  <c r="A288" i="3"/>
  <c r="A292" i="3"/>
  <c r="A296" i="3"/>
  <c r="A300" i="3"/>
  <c r="A304" i="3"/>
  <c r="A308" i="3"/>
  <c r="A312" i="3"/>
  <c r="A316" i="3"/>
  <c r="A320" i="3"/>
  <c r="A324" i="3"/>
  <c r="A226" i="3"/>
  <c r="A230" i="3"/>
  <c r="A234" i="3"/>
  <c r="A238" i="3"/>
  <c r="A242" i="3"/>
  <c r="A246" i="3"/>
  <c r="A250" i="3"/>
  <c r="A254" i="3"/>
  <c r="A258" i="3"/>
  <c r="A262" i="3"/>
  <c r="A266" i="3"/>
  <c r="A270" i="3"/>
  <c r="A274" i="3"/>
  <c r="A231" i="3"/>
  <c r="A239" i="3"/>
  <c r="A247" i="3"/>
  <c r="A255" i="3"/>
  <c r="A263" i="3"/>
  <c r="A271" i="3"/>
  <c r="A277" i="3"/>
  <c r="A281" i="3"/>
  <c r="A285" i="3"/>
  <c r="A289" i="3"/>
  <c r="A293" i="3"/>
  <c r="A297" i="3"/>
  <c r="A301" i="3"/>
  <c r="A305" i="3"/>
  <c r="A309" i="3"/>
  <c r="A313" i="3"/>
  <c r="A317" i="3"/>
  <c r="A321" i="3"/>
  <c r="A325" i="3"/>
  <c r="A227" i="3"/>
  <c r="A235" i="3"/>
  <c r="A243" i="3"/>
  <c r="A251" i="3"/>
  <c r="A259" i="3"/>
  <c r="A267" i="3"/>
  <c r="A278" i="3"/>
  <c r="A282" i="3"/>
  <c r="A286" i="3"/>
  <c r="A290" i="3"/>
  <c r="A294" i="3"/>
  <c r="A298" i="3"/>
  <c r="A302" i="3"/>
  <c r="A306" i="3"/>
  <c r="A310" i="3"/>
  <c r="A314" i="3"/>
  <c r="A318" i="3"/>
  <c r="A322" i="3"/>
  <c r="A224" i="3"/>
  <c r="A228" i="3"/>
  <c r="A232" i="3"/>
  <c r="A236" i="3"/>
  <c r="A240" i="3"/>
  <c r="A244" i="3"/>
  <c r="A248" i="3"/>
  <c r="A252" i="3"/>
  <c r="A256" i="3"/>
  <c r="A260" i="3"/>
  <c r="A264" i="3"/>
  <c r="A268" i="3"/>
  <c r="A272" i="3"/>
  <c r="A225" i="3"/>
  <c r="A233" i="3"/>
  <c r="A237" i="3"/>
  <c r="A245" i="3"/>
  <c r="A253" i="3"/>
  <c r="A261" i="3"/>
  <c r="A269" i="3"/>
  <c r="A221" i="3"/>
  <c r="A222" i="3"/>
  <c r="F24" i="11"/>
  <c r="AB75" i="6"/>
  <c r="Y63" i="6"/>
  <c r="D102" i="6"/>
  <c r="Y64" i="6"/>
  <c r="Y55" i="6"/>
  <c r="P60" i="6"/>
  <c r="Y65" i="6"/>
  <c r="T53" i="6"/>
  <c r="T51" i="6"/>
  <c r="B7" i="9"/>
  <c r="B7" i="13"/>
  <c r="B13" i="9"/>
  <c r="B13" i="13"/>
  <c r="C10" i="9"/>
  <c r="C10" i="13"/>
  <c r="B9" i="9"/>
  <c r="B9" i="13"/>
  <c r="B14" i="9"/>
  <c r="B14" i="13"/>
  <c r="C13" i="13"/>
  <c r="C9" i="13"/>
  <c r="B29" i="9"/>
  <c r="B29" i="13"/>
  <c r="C11" i="9"/>
  <c r="C11" i="13"/>
  <c r="B5" i="9"/>
  <c r="B5" i="13"/>
  <c r="B4" i="9"/>
  <c r="B4" i="13"/>
  <c r="B1" i="9"/>
  <c r="B1" i="13"/>
  <c r="B16" i="9"/>
  <c r="B16" i="13"/>
  <c r="B6" i="9"/>
  <c r="B6" i="13"/>
  <c r="B28" i="9"/>
  <c r="B28" i="13"/>
  <c r="B20" i="9"/>
  <c r="B20" i="13"/>
  <c r="B31" i="9"/>
  <c r="B31" i="13"/>
  <c r="B21" i="9"/>
  <c r="B21" i="13"/>
  <c r="B11" i="13"/>
  <c r="B10" i="13"/>
  <c r="B17" i="9"/>
  <c r="B17" i="13"/>
  <c r="C5" i="9"/>
  <c r="C5" i="13"/>
  <c r="B15" i="9"/>
  <c r="B15" i="13"/>
  <c r="B24" i="9"/>
  <c r="B24" i="13"/>
  <c r="B26" i="9"/>
  <c r="B26" i="13"/>
  <c r="C14" i="9"/>
  <c r="C14" i="13"/>
  <c r="C30" i="2"/>
  <c r="C60" i="2"/>
  <c r="C42" i="2"/>
  <c r="C42" i="12"/>
  <c r="C25" i="2"/>
  <c r="C25" i="12"/>
  <c r="C7" i="2"/>
  <c r="F47" i="2"/>
  <c r="F28" i="2"/>
  <c r="F28" i="12"/>
  <c r="F58" i="2"/>
  <c r="F40" i="2"/>
  <c r="F40" i="12"/>
  <c r="C59" i="2"/>
  <c r="C54" i="2"/>
  <c r="C19" i="2"/>
  <c r="C19" i="12"/>
  <c r="F39" i="2"/>
  <c r="F39" i="12"/>
  <c r="C70" i="12"/>
  <c r="F52" i="2"/>
  <c r="F17" i="2"/>
  <c r="F63" i="12"/>
  <c r="C63" i="12"/>
  <c r="C57" i="2"/>
  <c r="C56" i="2"/>
  <c r="F59" i="2"/>
  <c r="F24" i="2"/>
  <c r="F24" i="12"/>
  <c r="C55" i="2"/>
  <c r="C20" i="2"/>
  <c r="F54" i="2"/>
  <c r="F36" i="2"/>
  <c r="F36" i="12"/>
  <c r="F19" i="2"/>
  <c r="F19" i="12"/>
  <c r="C51" i="2"/>
  <c r="C16" i="2"/>
  <c r="C50" i="2"/>
  <c r="C31" i="2"/>
  <c r="C15" i="2"/>
  <c r="F53" i="2"/>
  <c r="F35" i="12"/>
  <c r="F35" i="11"/>
  <c r="F18" i="2"/>
  <c r="C53" i="2"/>
  <c r="C14" i="2"/>
  <c r="F48" i="2"/>
  <c r="F29" i="2"/>
  <c r="F13" i="2"/>
  <c r="C73" i="12"/>
  <c r="F73" i="12"/>
  <c r="F64" i="12"/>
  <c r="C64" i="12"/>
  <c r="C49" i="2"/>
  <c r="C18" i="2"/>
  <c r="C52" i="2"/>
  <c r="C34" i="2"/>
  <c r="C17" i="2"/>
  <c r="F55" i="2"/>
  <c r="F37" i="2"/>
  <c r="F20" i="2"/>
  <c r="C47" i="2"/>
  <c r="C10" i="2"/>
  <c r="F50" i="2"/>
  <c r="F31" i="2"/>
  <c r="F15" i="2"/>
  <c r="C41" i="2"/>
  <c r="C41" i="12"/>
  <c r="C71" i="12"/>
  <c r="C46" i="2"/>
  <c r="C27" i="2"/>
  <c r="C9" i="2"/>
  <c r="F49" i="2"/>
  <c r="F30" i="2"/>
  <c r="F14" i="2"/>
  <c r="C45" i="2"/>
  <c r="F60" i="2"/>
  <c r="F42" i="2"/>
  <c r="F42" i="12"/>
  <c r="F25" i="2"/>
  <c r="F25" i="12"/>
  <c r="C12" i="2"/>
  <c r="F76" i="2"/>
  <c r="F72" i="12"/>
  <c r="C72" i="12"/>
  <c r="F12" i="2"/>
  <c r="F11" i="2"/>
  <c r="F33" i="2"/>
  <c r="F33" i="12"/>
  <c r="C33" i="12"/>
  <c r="F10" i="2"/>
  <c r="C28" i="2"/>
  <c r="C28" i="12"/>
  <c r="F23" i="2"/>
  <c r="C24" i="2"/>
  <c r="C24" i="12"/>
  <c r="C36" i="2"/>
  <c r="C36" i="12"/>
  <c r="F57" i="2"/>
  <c r="F22" i="2"/>
  <c r="C26" i="2"/>
  <c r="F34" i="2"/>
  <c r="C22" i="2"/>
  <c r="C38" i="2"/>
  <c r="C21" i="2"/>
  <c r="F41" i="2"/>
  <c r="F41" i="12"/>
  <c r="C39" i="2"/>
  <c r="C39" i="12"/>
  <c r="C8" i="2"/>
  <c r="C48" i="2"/>
  <c r="C29" i="2"/>
  <c r="C13" i="2"/>
  <c r="F51" i="2"/>
  <c r="F32" i="2"/>
  <c r="F16" i="2"/>
  <c r="C37" i="2"/>
  <c r="F71" i="12"/>
  <c r="F46" i="2"/>
  <c r="F27" i="2"/>
  <c r="F9" i="2"/>
  <c r="C32" i="2"/>
  <c r="C58" i="2"/>
  <c r="C40" i="2"/>
  <c r="C40" i="12"/>
  <c r="C23" i="2"/>
  <c r="F70" i="12"/>
  <c r="F45" i="2"/>
  <c r="F26" i="2"/>
  <c r="F8" i="2"/>
  <c r="C35" i="2"/>
  <c r="C35" i="12"/>
  <c r="F56" i="2"/>
  <c r="F38" i="2"/>
  <c r="F21" i="2"/>
  <c r="C65" i="12"/>
  <c r="F65" i="12"/>
  <c r="C11" i="2"/>
  <c r="C74" i="2"/>
  <c r="C75" i="2"/>
  <c r="C9" i="9"/>
  <c r="C13" i="9"/>
  <c r="F75" i="2"/>
  <c r="F74" i="2"/>
  <c r="F35" i="2"/>
  <c r="C72" i="2"/>
  <c r="F72" i="2"/>
  <c r="C67" i="2"/>
  <c r="F67" i="2"/>
  <c r="C68" i="2"/>
  <c r="F68" i="2"/>
  <c r="F73" i="2"/>
  <c r="C73" i="2"/>
  <c r="C69" i="2"/>
  <c r="F69" i="2"/>
  <c r="C33" i="2"/>
  <c r="C77" i="2"/>
  <c r="F77" i="2"/>
  <c r="C76" i="2"/>
  <c r="B11" i="9"/>
  <c r="B10" i="9"/>
  <c r="AG87" i="6"/>
  <c r="AI86" i="6"/>
  <c r="AH86" i="6"/>
  <c r="AH87" i="6"/>
  <c r="AG86" i="6"/>
  <c r="F7" i="2"/>
  <c r="AH78" i="6"/>
  <c r="AH83" i="6"/>
  <c r="AH77" i="6"/>
  <c r="AH85" i="6"/>
  <c r="AI80" i="6"/>
  <c r="AI76" i="6"/>
  <c r="AG81" i="6"/>
  <c r="AI84" i="6"/>
  <c r="AG80" i="6"/>
  <c r="AI82" i="6"/>
  <c r="AH84" i="6"/>
  <c r="AI78" i="6"/>
  <c r="AH82" i="6"/>
  <c r="AG83" i="6"/>
  <c r="AG82" i="6"/>
  <c r="AG79" i="6"/>
  <c r="AH81" i="6"/>
  <c r="AG76" i="6"/>
  <c r="AG78" i="6"/>
  <c r="AH80" i="6"/>
  <c r="AG85" i="6"/>
  <c r="AG77" i="6"/>
  <c r="AH79" i="6"/>
  <c r="AG84" i="6"/>
  <c r="AH76" i="6"/>
  <c r="AG88" i="6"/>
  <c r="AI88" i="6"/>
  <c r="AH88" i="6"/>
  <c r="V85" i="6"/>
  <c r="P72" i="6"/>
  <c r="J76" i="6"/>
  <c r="B92" i="6"/>
  <c r="A62" i="6"/>
  <c r="G8" i="5"/>
  <c r="I17" i="5"/>
  <c r="G9" i="5"/>
  <c r="I9" i="5"/>
  <c r="I10" i="5"/>
  <c r="I11" i="5"/>
  <c r="I14" i="5"/>
  <c r="I15" i="5"/>
  <c r="I16" i="5"/>
  <c r="I19" i="5"/>
  <c r="I13" i="5"/>
  <c r="I18" i="5"/>
  <c r="I12" i="5"/>
  <c r="I8" i="5"/>
  <c r="G19" i="2"/>
  <c r="G28" i="2"/>
  <c r="I28" i="2"/>
  <c r="I19" i="2"/>
  <c r="L61" i="7"/>
  <c r="F61" i="7"/>
  <c r="L60" i="7"/>
  <c r="F60" i="7"/>
  <c r="L51" i="7"/>
  <c r="F51" i="7"/>
  <c r="L50" i="7"/>
  <c r="F50" i="7"/>
  <c r="L43" i="7"/>
  <c r="F43" i="7"/>
  <c r="L42" i="7"/>
  <c r="F42" i="7"/>
  <c r="L27" i="7"/>
  <c r="F27" i="7"/>
  <c r="L26" i="7"/>
  <c r="F26" i="7"/>
  <c r="L21" i="7"/>
  <c r="F21" i="7"/>
  <c r="L20" i="7"/>
  <c r="F20" i="7"/>
  <c r="I18" i="6"/>
  <c r="I19" i="6"/>
  <c r="I20" i="6"/>
  <c r="I23" i="6"/>
  <c r="I24" i="6"/>
  <c r="I25" i="6"/>
  <c r="I26" i="6"/>
  <c r="I27" i="6"/>
  <c r="I28" i="6"/>
  <c r="I17" i="6"/>
  <c r="I16" i="6"/>
  <c r="I3" i="6"/>
  <c r="I4" i="6"/>
  <c r="I5" i="6"/>
  <c r="O27" i="6"/>
  <c r="O25" i="6"/>
  <c r="O23" i="6"/>
  <c r="C32" i="6"/>
  <c r="C31" i="6"/>
  <c r="D32" i="6"/>
  <c r="C34" i="6"/>
  <c r="C35" i="6"/>
  <c r="C36" i="6"/>
  <c r="C33" i="6"/>
  <c r="E177" i="7"/>
  <c r="B4" i="6"/>
  <c r="B3" i="6"/>
  <c r="E142" i="7"/>
  <c r="E143" i="7"/>
  <c r="E144" i="7"/>
  <c r="E145" i="7"/>
  <c r="E146" i="7"/>
  <c r="E147" i="7"/>
  <c r="E148" i="7"/>
  <c r="E149" i="7"/>
  <c r="E150" i="7"/>
  <c r="E151" i="7"/>
  <c r="E152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I29" i="6"/>
  <c r="D34" i="6"/>
  <c r="D37" i="6"/>
  <c r="B42" i="6"/>
  <c r="D142" i="7"/>
  <c r="D143" i="7"/>
  <c r="D144" i="7"/>
  <c r="D145" i="7"/>
  <c r="D146" i="7"/>
  <c r="D147" i="7"/>
  <c r="D148" i="7"/>
  <c r="D149" i="7"/>
  <c r="D150" i="7"/>
  <c r="D151" i="7"/>
  <c r="D152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53" i="7"/>
  <c r="D154" i="7"/>
  <c r="D155" i="7"/>
  <c r="D156" i="7"/>
  <c r="D157" i="7"/>
  <c r="D158" i="7"/>
  <c r="B143" i="7"/>
  <c r="B144" i="7"/>
  <c r="B145" i="7"/>
  <c r="B142" i="7"/>
  <c r="B141" i="7"/>
  <c r="E141" i="7"/>
  <c r="J154" i="7"/>
  <c r="K154" i="7"/>
  <c r="J155" i="7"/>
  <c r="K155" i="7"/>
  <c r="J157" i="7"/>
  <c r="K157" i="7"/>
  <c r="J153" i="7"/>
  <c r="K153" i="7"/>
  <c r="J156" i="7"/>
  <c r="K156" i="7"/>
  <c r="J158" i="7"/>
  <c r="K158" i="7"/>
  <c r="B40" i="6"/>
  <c r="B39" i="6"/>
  <c r="B41" i="6"/>
  <c r="J171" i="7"/>
  <c r="K171" i="7"/>
  <c r="J177" i="7"/>
  <c r="J151" i="7"/>
  <c r="K151" i="7"/>
  <c r="J172" i="7"/>
  <c r="K172" i="7"/>
  <c r="J163" i="7"/>
  <c r="K163" i="7"/>
  <c r="J174" i="7"/>
  <c r="K174" i="7"/>
  <c r="J141" i="7"/>
  <c r="K141" i="7"/>
  <c r="J142" i="7"/>
  <c r="K142" i="7"/>
  <c r="J147" i="7"/>
  <c r="K147" i="7"/>
  <c r="J164" i="7"/>
  <c r="J175" i="7"/>
  <c r="K175" i="7"/>
  <c r="J173" i="7"/>
  <c r="J168" i="7"/>
  <c r="K168" i="7"/>
  <c r="J165" i="7"/>
  <c r="K165" i="7"/>
  <c r="J169" i="7"/>
  <c r="K169" i="7"/>
  <c r="J146" i="7"/>
  <c r="K146" i="7"/>
  <c r="J167" i="7"/>
  <c r="K167" i="7"/>
  <c r="J161" i="7"/>
  <c r="J148" i="7"/>
  <c r="K148" i="7"/>
  <c r="J176" i="7"/>
  <c r="J152" i="7"/>
  <c r="K152" i="7"/>
  <c r="J149" i="7"/>
  <c r="J162" i="7"/>
  <c r="K162" i="7"/>
  <c r="J166" i="7"/>
  <c r="K166" i="7"/>
  <c r="J145" i="7"/>
  <c r="K145" i="7"/>
  <c r="J159" i="7"/>
  <c r="K159" i="7"/>
  <c r="J170" i="7"/>
  <c r="J144" i="7"/>
  <c r="K144" i="7"/>
  <c r="J143" i="7"/>
  <c r="K143" i="7"/>
  <c r="J150" i="7"/>
  <c r="K150" i="7"/>
  <c r="J160" i="7"/>
  <c r="K160" i="7"/>
  <c r="H5" i="7"/>
  <c r="H6" i="7"/>
  <c r="H7" i="7"/>
  <c r="H10" i="7"/>
  <c r="H11" i="7"/>
  <c r="H12" i="7"/>
  <c r="H13" i="7"/>
  <c r="H14" i="7"/>
  <c r="H15" i="7"/>
  <c r="B4" i="7"/>
  <c r="K5" i="7"/>
  <c r="K9" i="7"/>
  <c r="K13" i="7"/>
  <c r="J5" i="7"/>
  <c r="J9" i="7"/>
  <c r="J13" i="7"/>
  <c r="I6" i="7"/>
  <c r="I10" i="7"/>
  <c r="I15" i="7"/>
  <c r="K12" i="7"/>
  <c r="J4" i="7"/>
  <c r="I9" i="7"/>
  <c r="K6" i="7"/>
  <c r="K10" i="7"/>
  <c r="K15" i="7"/>
  <c r="J6" i="7"/>
  <c r="J10" i="7"/>
  <c r="J15" i="7"/>
  <c r="I7" i="7"/>
  <c r="I11" i="7"/>
  <c r="J12" i="7"/>
  <c r="I13" i="7"/>
  <c r="K7" i="7"/>
  <c r="K11" i="7"/>
  <c r="K4" i="7"/>
  <c r="J7" i="7"/>
  <c r="J11" i="7"/>
  <c r="I4" i="7"/>
  <c r="I8" i="7"/>
  <c r="I12" i="7"/>
  <c r="K8" i="7"/>
  <c r="J8" i="7"/>
  <c r="I5" i="7"/>
  <c r="J14" i="7"/>
  <c r="I14" i="7"/>
  <c r="K14" i="7"/>
  <c r="K149" i="7"/>
  <c r="L149" i="7"/>
  <c r="H149" i="7"/>
  <c r="K161" i="7"/>
  <c r="L159" i="7"/>
  <c r="H159" i="7"/>
  <c r="K164" i="7"/>
  <c r="L164" i="7"/>
  <c r="H164" i="7"/>
  <c r="K177" i="7"/>
  <c r="L177" i="7"/>
  <c r="K176" i="7"/>
  <c r="L176" i="7"/>
  <c r="H176" i="7"/>
  <c r="K173" i="7"/>
  <c r="L173" i="7"/>
  <c r="H173" i="7"/>
  <c r="K170" i="7"/>
  <c r="L170" i="7"/>
  <c r="H170" i="7"/>
  <c r="L155" i="7"/>
  <c r="H155" i="7"/>
  <c r="L158" i="7"/>
  <c r="H158" i="7"/>
  <c r="L157" i="7"/>
  <c r="H157" i="7"/>
  <c r="L156" i="7"/>
  <c r="H156" i="7"/>
  <c r="P13" i="7"/>
  <c r="Q13" i="7"/>
  <c r="P14" i="7"/>
  <c r="Q14" i="7"/>
  <c r="L166" i="7"/>
  <c r="H166" i="7"/>
  <c r="L167" i="7"/>
  <c r="H167" i="7"/>
  <c r="L150" i="7"/>
  <c r="H150" i="7"/>
  <c r="L152" i="7"/>
  <c r="H152" i="7"/>
  <c r="L165" i="7"/>
  <c r="H165" i="7"/>
  <c r="L143" i="7"/>
  <c r="H143" i="7"/>
  <c r="L142" i="7"/>
  <c r="H142" i="7"/>
  <c r="L141" i="7"/>
  <c r="H141" i="7"/>
  <c r="L144" i="7"/>
  <c r="H144" i="7"/>
  <c r="L145" i="7"/>
  <c r="H145" i="7"/>
  <c r="L146" i="7"/>
  <c r="H146" i="7"/>
  <c r="L151" i="7"/>
  <c r="H151" i="7"/>
  <c r="L172" i="7"/>
  <c r="H172" i="7"/>
  <c r="L175" i="7"/>
  <c r="H175" i="7"/>
  <c r="L147" i="7"/>
  <c r="H147" i="7"/>
  <c r="L162" i="7"/>
  <c r="H162" i="7"/>
  <c r="L168" i="7"/>
  <c r="H168" i="7"/>
  <c r="L148" i="7"/>
  <c r="H148" i="7"/>
  <c r="L163" i="7"/>
  <c r="H163" i="7"/>
  <c r="L169" i="7"/>
  <c r="H169" i="7"/>
  <c r="L171" i="7"/>
  <c r="H171" i="7"/>
  <c r="L160" i="7"/>
  <c r="H160" i="7"/>
  <c r="L161" i="7"/>
  <c r="H161" i="7"/>
  <c r="L174" i="7"/>
  <c r="H174" i="7"/>
  <c r="L154" i="7"/>
  <c r="H154" i="7"/>
  <c r="L153" i="7"/>
  <c r="H153" i="7"/>
  <c r="J16" i="7"/>
  <c r="L15" i="11"/>
  <c r="I16" i="7"/>
  <c r="M19" i="11"/>
  <c r="K16" i="7"/>
  <c r="M15" i="11"/>
  <c r="AE185" i="6"/>
  <c r="AE184" i="6"/>
  <c r="AD184" i="6"/>
  <c r="AC184" i="6"/>
  <c r="AB184" i="6"/>
  <c r="AA184" i="6"/>
  <c r="Z184" i="6"/>
  <c r="Y184" i="6"/>
  <c r="X184" i="6"/>
  <c r="AE183" i="6"/>
  <c r="AE182" i="6"/>
  <c r="AD182" i="6"/>
  <c r="AC182" i="6"/>
  <c r="AB182" i="6"/>
  <c r="AA182" i="6"/>
  <c r="Z182" i="6"/>
  <c r="Y182" i="6"/>
  <c r="X182" i="6"/>
  <c r="AE181" i="6"/>
  <c r="AE180" i="6"/>
  <c r="AD180" i="6"/>
  <c r="AC180" i="6"/>
  <c r="AB180" i="6"/>
  <c r="AA180" i="6"/>
  <c r="Z180" i="6"/>
  <c r="Y180" i="6"/>
  <c r="X180" i="6"/>
  <c r="U180" i="6"/>
  <c r="U184" i="6"/>
  <c r="T180" i="6"/>
  <c r="T184" i="6"/>
  <c r="S180" i="6"/>
  <c r="S184" i="6"/>
  <c r="R180" i="6"/>
  <c r="R184" i="6"/>
  <c r="Q180" i="6"/>
  <c r="Q184" i="6"/>
  <c r="P180" i="6"/>
  <c r="P184" i="6"/>
  <c r="AE179" i="6"/>
  <c r="AE178" i="6"/>
  <c r="AD178" i="6"/>
  <c r="AC178" i="6"/>
  <c r="AB178" i="6"/>
  <c r="AA178" i="6"/>
  <c r="Z178" i="6"/>
  <c r="Y178" i="6"/>
  <c r="X178" i="6"/>
  <c r="AE177" i="6"/>
  <c r="AE176" i="6"/>
  <c r="AD176" i="6"/>
  <c r="AC176" i="6"/>
  <c r="AB176" i="6"/>
  <c r="AA176" i="6"/>
  <c r="Z176" i="6"/>
  <c r="Y176" i="6"/>
  <c r="X176" i="6"/>
  <c r="U176" i="6"/>
  <c r="T176" i="6"/>
  <c r="S176" i="6"/>
  <c r="S172" i="6"/>
  <c r="R176" i="6"/>
  <c r="R172" i="6"/>
  <c r="Q176" i="6"/>
  <c r="Q172" i="6"/>
  <c r="P176" i="6"/>
  <c r="P172" i="6"/>
  <c r="AE175" i="6"/>
  <c r="AE174" i="6"/>
  <c r="AD174" i="6"/>
  <c r="AC174" i="6"/>
  <c r="AB174" i="6"/>
  <c r="AA174" i="6"/>
  <c r="Z174" i="6"/>
  <c r="Y174" i="6"/>
  <c r="X174" i="6"/>
  <c r="AE173" i="6"/>
  <c r="AE172" i="6"/>
  <c r="AD172" i="6"/>
  <c r="AC172" i="6"/>
  <c r="AB172" i="6"/>
  <c r="AA172" i="6"/>
  <c r="Z172" i="6"/>
  <c r="Y172" i="6"/>
  <c r="X172" i="6"/>
  <c r="U172" i="6"/>
  <c r="T172" i="6"/>
  <c r="U166" i="6"/>
  <c r="U170" i="6"/>
  <c r="T166" i="6"/>
  <c r="T170" i="6"/>
  <c r="S166" i="6"/>
  <c r="S170" i="6"/>
  <c r="R166" i="6"/>
  <c r="R170" i="6"/>
  <c r="Q166" i="6"/>
  <c r="Q170" i="6"/>
  <c r="P166" i="6"/>
  <c r="P170" i="6"/>
  <c r="U162" i="6"/>
  <c r="U158" i="6"/>
  <c r="T162" i="6"/>
  <c r="T158" i="6"/>
  <c r="S162" i="6"/>
  <c r="S158" i="6"/>
  <c r="R162" i="6"/>
  <c r="R158" i="6"/>
  <c r="Q162" i="6"/>
  <c r="Q158" i="6"/>
  <c r="P162" i="6"/>
  <c r="P158" i="6"/>
  <c r="U152" i="6"/>
  <c r="U156" i="6"/>
  <c r="T152" i="6"/>
  <c r="T156" i="6"/>
  <c r="S152" i="6"/>
  <c r="S156" i="6"/>
  <c r="R152" i="6"/>
  <c r="R156" i="6"/>
  <c r="Q152" i="6"/>
  <c r="Q156" i="6"/>
  <c r="P152" i="6"/>
  <c r="P156" i="6"/>
  <c r="U148" i="6"/>
  <c r="U144" i="6"/>
  <c r="T148" i="6"/>
  <c r="T144" i="6"/>
  <c r="S148" i="6"/>
  <c r="S144" i="6"/>
  <c r="R148" i="6"/>
  <c r="R144" i="6"/>
  <c r="Q148" i="6"/>
  <c r="Q144" i="6"/>
  <c r="P148" i="6"/>
  <c r="P144" i="6"/>
  <c r="AE143" i="6"/>
  <c r="AE142" i="6"/>
  <c r="AD142" i="6"/>
  <c r="AC142" i="6"/>
  <c r="AB142" i="6"/>
  <c r="AA142" i="6"/>
  <c r="Z142" i="6"/>
  <c r="Y142" i="6"/>
  <c r="P105" i="6"/>
  <c r="V105" i="6"/>
  <c r="Z104" i="6"/>
  <c r="Y104" i="6"/>
  <c r="X104" i="6"/>
  <c r="W104" i="6"/>
  <c r="V104" i="6"/>
  <c r="Z103" i="6"/>
  <c r="Y103" i="6"/>
  <c r="X103" i="6"/>
  <c r="W103" i="6"/>
  <c r="V103" i="6"/>
  <c r="Z102" i="6"/>
  <c r="Y102" i="6"/>
  <c r="X102" i="6"/>
  <c r="W102" i="6"/>
  <c r="V102" i="6"/>
  <c r="P54" i="6"/>
  <c r="AD52" i="6"/>
  <c r="Z101" i="6"/>
  <c r="Y101" i="6"/>
  <c r="X101" i="6"/>
  <c r="W101" i="6"/>
  <c r="V101" i="6"/>
  <c r="Z100" i="6"/>
  <c r="Y100" i="6"/>
  <c r="X100" i="6"/>
  <c r="W100" i="6"/>
  <c r="V100" i="6"/>
  <c r="Z99" i="6"/>
  <c r="AC156" i="6"/>
  <c r="Y99" i="6"/>
  <c r="AB170" i="6"/>
  <c r="X99" i="6"/>
  <c r="W99" i="6"/>
  <c r="V99" i="6"/>
  <c r="Z98" i="6"/>
  <c r="Y98" i="6"/>
  <c r="X168" i="6"/>
  <c r="X98" i="6"/>
  <c r="W98" i="6"/>
  <c r="V98" i="6"/>
  <c r="Z97" i="6"/>
  <c r="Y97" i="6"/>
  <c r="X97" i="6"/>
  <c r="W97" i="6"/>
  <c r="V97" i="6"/>
  <c r="Z96" i="6"/>
  <c r="Y96" i="6"/>
  <c r="X96" i="6"/>
  <c r="W96" i="6"/>
  <c r="V96" i="6"/>
  <c r="Z95" i="6"/>
  <c r="Y95" i="6"/>
  <c r="X95" i="6"/>
  <c r="W95" i="6"/>
  <c r="V95" i="6"/>
  <c r="Z94" i="6"/>
  <c r="Y94" i="6"/>
  <c r="X94" i="6"/>
  <c r="W94" i="6"/>
  <c r="V94" i="6"/>
  <c r="Z93" i="6"/>
  <c r="Y93" i="6"/>
  <c r="X93" i="6"/>
  <c r="W93" i="6"/>
  <c r="V93" i="6"/>
  <c r="Z92" i="6"/>
  <c r="Y92" i="6"/>
  <c r="X92" i="6"/>
  <c r="W92" i="6"/>
  <c r="V92" i="6"/>
  <c r="Z91" i="6"/>
  <c r="Y91" i="6"/>
  <c r="X91" i="6"/>
  <c r="W91" i="6"/>
  <c r="V91" i="6"/>
  <c r="Z90" i="6"/>
  <c r="Y90" i="6"/>
  <c r="X90" i="6"/>
  <c r="W90" i="6"/>
  <c r="V90" i="6"/>
  <c r="Z89" i="6"/>
  <c r="Y89" i="6"/>
  <c r="X89" i="6"/>
  <c r="W89" i="6"/>
  <c r="V89" i="6"/>
  <c r="Z88" i="6"/>
  <c r="Y88" i="6"/>
  <c r="X88" i="6"/>
  <c r="W88" i="6"/>
  <c r="V88" i="6"/>
  <c r="Z87" i="6"/>
  <c r="Y87" i="6"/>
  <c r="X87" i="6"/>
  <c r="W87" i="6"/>
  <c r="V87" i="6"/>
  <c r="Z86" i="6"/>
  <c r="Y86" i="6"/>
  <c r="X86" i="6"/>
  <c r="W86" i="6"/>
  <c r="V86" i="6"/>
  <c r="Z85" i="6"/>
  <c r="Y85" i="6"/>
  <c r="X85" i="6"/>
  <c r="W85" i="6"/>
  <c r="AA141" i="6"/>
  <c r="AA140" i="6"/>
  <c r="Y140" i="6"/>
  <c r="P70" i="6"/>
  <c r="P71" i="6"/>
  <c r="P59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H179" i="7"/>
  <c r="X105" i="6"/>
  <c r="P106" i="6"/>
  <c r="P107" i="6"/>
  <c r="P108" i="6"/>
  <c r="Z108" i="6"/>
  <c r="W105" i="6"/>
  <c r="Y62" i="6"/>
  <c r="Y53" i="6"/>
  <c r="AB166" i="6"/>
  <c r="AE159" i="6"/>
  <c r="AD158" i="6"/>
  <c r="AA162" i="6"/>
  <c r="AC160" i="6"/>
  <c r="Z164" i="6"/>
  <c r="AD166" i="6"/>
  <c r="X170" i="6"/>
  <c r="Y146" i="6"/>
  <c r="AD150" i="6"/>
  <c r="V106" i="6"/>
  <c r="Z144" i="6"/>
  <c r="AE148" i="6"/>
  <c r="AB154" i="6"/>
  <c r="Z156" i="6"/>
  <c r="Y105" i="6"/>
  <c r="AA144" i="6"/>
  <c r="AB146" i="6"/>
  <c r="Z148" i="6"/>
  <c r="Y150" i="6"/>
  <c r="AE152" i="6"/>
  <c r="AA156" i="6"/>
  <c r="X158" i="6"/>
  <c r="Z160" i="6"/>
  <c r="AA164" i="6"/>
  <c r="X166" i="6"/>
  <c r="Z168" i="6"/>
  <c r="AA170" i="6"/>
  <c r="AC148" i="6"/>
  <c r="AA152" i="6"/>
  <c r="Z154" i="6"/>
  <c r="Z146" i="6"/>
  <c r="AC152" i="6"/>
  <c r="Z105" i="6"/>
  <c r="Z106" i="6"/>
  <c r="AC144" i="6"/>
  <c r="AD146" i="6"/>
  <c r="AA148" i="6"/>
  <c r="AB150" i="6"/>
  <c r="Z152" i="6"/>
  <c r="Y154" i="6"/>
  <c r="AB158" i="6"/>
  <c r="AA160" i="6"/>
  <c r="X162" i="6"/>
  <c r="AC164" i="6"/>
  <c r="AA166" i="6"/>
  <c r="Y61" i="6"/>
  <c r="Z140" i="6"/>
  <c r="W137" i="6"/>
  <c r="AB52" i="6"/>
  <c r="AC52" i="6"/>
  <c r="AJ60" i="6"/>
  <c r="AJ59" i="6"/>
  <c r="AH58" i="6"/>
  <c r="AJ64" i="6"/>
  <c r="AH63" i="6"/>
  <c r="AF62" i="6"/>
  <c r="AF61" i="6"/>
  <c r="AH64" i="6"/>
  <c r="AF63" i="6"/>
  <c r="AK65" i="6"/>
  <c r="AG65" i="6"/>
  <c r="AJ63" i="6"/>
  <c r="AH59" i="6"/>
  <c r="AF60" i="6"/>
  <c r="AF64" i="6"/>
  <c r="AJ61" i="6"/>
  <c r="AJ62" i="6"/>
  <c r="AH61" i="6"/>
  <c r="AI65" i="6"/>
  <c r="AH62" i="6"/>
  <c r="AJ58" i="6"/>
  <c r="AF58" i="6"/>
  <c r="AH60" i="6"/>
  <c r="AF59" i="6"/>
  <c r="Z135" i="6"/>
  <c r="Y135" i="6"/>
  <c r="W108" i="6"/>
  <c r="P109" i="6"/>
  <c r="Y108" i="6"/>
  <c r="X108" i="6"/>
  <c r="V108" i="6"/>
  <c r="Z141" i="6"/>
  <c r="AB141" i="6"/>
  <c r="X107" i="6"/>
  <c r="Y141" i="6"/>
  <c r="AC170" i="6"/>
  <c r="AB168" i="6"/>
  <c r="AC166" i="6"/>
  <c r="AB164" i="6"/>
  <c r="AC162" i="6"/>
  <c r="AB160" i="6"/>
  <c r="AC158" i="6"/>
  <c r="Z170" i="6"/>
  <c r="Y168" i="6"/>
  <c r="Z166" i="6"/>
  <c r="Y164" i="6"/>
  <c r="Z162" i="6"/>
  <c r="Y160" i="6"/>
  <c r="Z158" i="6"/>
  <c r="AE171" i="6"/>
  <c r="AE168" i="6"/>
  <c r="AE167" i="6"/>
  <c r="AE164" i="6"/>
  <c r="AE163" i="6"/>
  <c r="AE160" i="6"/>
  <c r="Y170" i="6"/>
  <c r="AE169" i="6"/>
  <c r="Y166" i="6"/>
  <c r="AE165" i="6"/>
  <c r="Y162" i="6"/>
  <c r="AE161" i="6"/>
  <c r="Y158" i="6"/>
  <c r="AE170" i="6"/>
  <c r="AD168" i="6"/>
  <c r="AE166" i="6"/>
  <c r="AD164" i="6"/>
  <c r="AE162" i="6"/>
  <c r="AD160" i="6"/>
  <c r="AE158" i="6"/>
  <c r="AB162" i="6"/>
  <c r="AA168" i="6"/>
  <c r="AD170" i="6"/>
  <c r="AB156" i="6"/>
  <c r="AA154" i="6"/>
  <c r="AB152" i="6"/>
  <c r="AA150" i="6"/>
  <c r="AB148" i="6"/>
  <c r="AA146" i="6"/>
  <c r="AB144" i="6"/>
  <c r="Y156" i="6"/>
  <c r="AE155" i="6"/>
  <c r="Y152" i="6"/>
  <c r="AE151" i="6"/>
  <c r="Y148" i="6"/>
  <c r="AE147" i="6"/>
  <c r="Y144" i="6"/>
  <c r="AE157" i="6"/>
  <c r="AE154" i="6"/>
  <c r="AE153" i="6"/>
  <c r="AE150" i="6"/>
  <c r="AE149" i="6"/>
  <c r="AE146" i="6"/>
  <c r="AE145" i="6"/>
  <c r="AD156" i="6"/>
  <c r="AC154" i="6"/>
  <c r="AD152" i="6"/>
  <c r="AC150" i="6"/>
  <c r="AD148" i="6"/>
  <c r="AC146" i="6"/>
  <c r="AD144" i="6"/>
  <c r="AE144" i="6"/>
  <c r="Z150" i="6"/>
  <c r="AD154" i="6"/>
  <c r="AE156" i="6"/>
  <c r="AA158" i="6"/>
  <c r="AD162" i="6"/>
  <c r="AC168" i="6"/>
  <c r="Z107" i="6"/>
  <c r="Y107" i="6"/>
  <c r="W107" i="6"/>
  <c r="X154" i="6"/>
  <c r="X150" i="6"/>
  <c r="X146" i="6"/>
  <c r="X156" i="6"/>
  <c r="X152" i="6"/>
  <c r="X148" i="6"/>
  <c r="X144" i="6"/>
  <c r="X160" i="6"/>
  <c r="X164" i="6"/>
  <c r="W106" i="6"/>
  <c r="X106" i="6"/>
  <c r="V107" i="6"/>
  <c r="Y106" i="6"/>
  <c r="AB186" i="6"/>
  <c r="Z186" i="6"/>
  <c r="AD186" i="6"/>
  <c r="Y186" i="6"/>
  <c r="AA186" i="6"/>
  <c r="P57" i="6"/>
  <c r="Y51" i="6"/>
  <c r="T60" i="6"/>
  <c r="T67" i="6"/>
  <c r="P58" i="6"/>
  <c r="AC186" i="6"/>
  <c r="Y109" i="6"/>
  <c r="V109" i="6"/>
  <c r="P110" i="6"/>
  <c r="W109" i="6"/>
  <c r="Z109" i="6"/>
  <c r="X109" i="6"/>
  <c r="M71" i="11"/>
  <c r="AB74" i="6"/>
  <c r="P111" i="6"/>
  <c r="X110" i="6"/>
  <c r="W110" i="6"/>
  <c r="Z110" i="6"/>
  <c r="Y110" i="6"/>
  <c r="V110" i="6"/>
  <c r="Z111" i="6"/>
  <c r="Y111" i="6"/>
  <c r="W111" i="6"/>
  <c r="P112" i="6"/>
  <c r="V111" i="6"/>
  <c r="X111" i="6"/>
  <c r="W112" i="6"/>
  <c r="P113" i="6"/>
  <c r="Y112" i="6"/>
  <c r="V112" i="6"/>
  <c r="Z112" i="6"/>
  <c r="X112" i="6"/>
  <c r="Y113" i="6"/>
  <c r="V113" i="6"/>
  <c r="P114" i="6"/>
  <c r="Z113" i="6"/>
  <c r="X113" i="6"/>
  <c r="W113" i="6"/>
  <c r="P115" i="6"/>
  <c r="X114" i="6"/>
  <c r="W114" i="6"/>
  <c r="Y114" i="6"/>
  <c r="Z114" i="6"/>
  <c r="V114" i="6"/>
  <c r="Z115" i="6"/>
  <c r="Y115" i="6"/>
  <c r="W115" i="6"/>
  <c r="P116" i="6"/>
  <c r="X115" i="6"/>
  <c r="V115" i="6"/>
  <c r="W116" i="6"/>
  <c r="P117" i="6"/>
  <c r="Y116" i="6"/>
  <c r="X116" i="6"/>
  <c r="V116" i="6"/>
  <c r="Z116" i="6"/>
  <c r="Y117" i="6"/>
  <c r="V117" i="6"/>
  <c r="P118" i="6"/>
  <c r="Z117" i="6"/>
  <c r="W117" i="6"/>
  <c r="X117" i="6"/>
  <c r="P119" i="6"/>
  <c r="X118" i="6"/>
  <c r="W118" i="6"/>
  <c r="Z118" i="6"/>
  <c r="Y118" i="6"/>
  <c r="V118" i="6"/>
  <c r="Z119" i="6"/>
  <c r="Y119" i="6"/>
  <c r="W119" i="6"/>
  <c r="P120" i="6"/>
  <c r="V119" i="6"/>
  <c r="X119" i="6"/>
  <c r="W120" i="6"/>
  <c r="P121" i="6"/>
  <c r="Y120" i="6"/>
  <c r="V120" i="6"/>
  <c r="Z120" i="6"/>
  <c r="X120" i="6"/>
  <c r="Y121" i="6"/>
  <c r="V121" i="6"/>
  <c r="P122" i="6"/>
  <c r="Z121" i="6"/>
  <c r="X121" i="6"/>
  <c r="W121" i="6"/>
  <c r="P123" i="6"/>
  <c r="X122" i="6"/>
  <c r="W122" i="6"/>
  <c r="Y122" i="6"/>
  <c r="Z122" i="6"/>
  <c r="V122" i="6"/>
  <c r="Z123" i="6"/>
  <c r="Y123" i="6"/>
  <c r="W123" i="6"/>
  <c r="P124" i="6"/>
  <c r="X123" i="6"/>
  <c r="V123" i="6"/>
  <c r="W124" i="6"/>
  <c r="P125" i="6"/>
  <c r="Y124" i="6"/>
  <c r="X124" i="6"/>
  <c r="V124" i="6"/>
  <c r="Z124" i="6"/>
  <c r="Y125" i="6"/>
  <c r="V125" i="6"/>
  <c r="P126" i="6"/>
  <c r="X125" i="6"/>
  <c r="W125" i="6"/>
  <c r="Z125" i="6"/>
  <c r="P127" i="6"/>
  <c r="X126" i="6"/>
  <c r="W126" i="6"/>
  <c r="Z126" i="6"/>
  <c r="Y126" i="6"/>
  <c r="V126" i="6"/>
  <c r="Z127" i="6"/>
  <c r="Y127" i="6"/>
  <c r="W127" i="6"/>
  <c r="P128" i="6"/>
  <c r="V127" i="6"/>
  <c r="X127" i="6"/>
  <c r="W128" i="6"/>
  <c r="P129" i="6"/>
  <c r="Y128" i="6"/>
  <c r="Z128" i="6"/>
  <c r="X128" i="6"/>
  <c r="V128" i="6"/>
  <c r="Y129" i="6"/>
  <c r="V129" i="6"/>
  <c r="P130" i="6"/>
  <c r="Z129" i="6"/>
  <c r="X129" i="6"/>
  <c r="W129" i="6"/>
  <c r="P131" i="6"/>
  <c r="X130" i="6"/>
  <c r="W130" i="6"/>
  <c r="Z130" i="6"/>
  <c r="Y130" i="6"/>
  <c r="V130" i="6"/>
  <c r="Z131" i="6"/>
  <c r="Y131" i="6"/>
  <c r="W131" i="6"/>
  <c r="V131" i="6"/>
  <c r="P132" i="6"/>
  <c r="X131" i="6"/>
  <c r="W132" i="6"/>
  <c r="P133" i="6"/>
  <c r="Y132" i="6"/>
  <c r="X132" i="6"/>
  <c r="V132" i="6"/>
  <c r="Z132" i="6"/>
  <c r="Y133" i="6"/>
  <c r="V133" i="6"/>
  <c r="P134" i="6"/>
  <c r="X133" i="6"/>
  <c r="W133" i="6"/>
  <c r="Z133" i="6"/>
  <c r="X134" i="6"/>
  <c r="X135" i="6"/>
  <c r="W134" i="6"/>
  <c r="W135" i="6"/>
  <c r="Z134" i="6"/>
  <c r="Y134" i="6"/>
  <c r="V134" i="6"/>
  <c r="V135" i="6"/>
  <c r="AA135" i="6"/>
  <c r="P74" i="6"/>
  <c r="P75" i="6"/>
  <c r="T58" i="6"/>
  <c r="T65" i="6"/>
  <c r="E135" i="7"/>
  <c r="E134" i="7"/>
  <c r="E133" i="7"/>
  <c r="E132" i="7"/>
  <c r="E131" i="7"/>
  <c r="E130" i="7"/>
  <c r="E129" i="7"/>
  <c r="E125" i="7"/>
  <c r="E128" i="7"/>
  <c r="E127" i="7"/>
  <c r="E126" i="7"/>
  <c r="E124" i="7"/>
  <c r="E123" i="7"/>
  <c r="E122" i="7"/>
  <c r="E120" i="7"/>
  <c r="E119" i="7"/>
  <c r="E118" i="7"/>
  <c r="E121" i="7"/>
  <c r="E117" i="7"/>
  <c r="E116" i="7"/>
  <c r="E115" i="7"/>
  <c r="E114" i="7"/>
  <c r="E113" i="7"/>
  <c r="E112" i="7"/>
  <c r="E110" i="7"/>
  <c r="E109" i="7"/>
  <c r="E108" i="7"/>
  <c r="E107" i="7"/>
  <c r="E106" i="7"/>
  <c r="E104" i="7"/>
  <c r="E103" i="7"/>
  <c r="E102" i="7"/>
  <c r="E101" i="7"/>
  <c r="E100" i="7"/>
  <c r="E74" i="7"/>
  <c r="E78" i="7"/>
  <c r="G72" i="7"/>
  <c r="G73" i="7"/>
  <c r="G74" i="7"/>
  <c r="G75" i="7"/>
  <c r="G76" i="7"/>
  <c r="G77" i="7"/>
  <c r="G78" i="7"/>
  <c r="G79" i="7"/>
  <c r="G80" i="7"/>
  <c r="E76" i="7"/>
  <c r="E72" i="7"/>
  <c r="E80" i="7"/>
  <c r="M70" i="11"/>
  <c r="AB73" i="6"/>
  <c r="G81" i="7"/>
  <c r="G82" i="7"/>
  <c r="G83" i="7"/>
  <c r="G84" i="7"/>
  <c r="G85" i="7"/>
  <c r="G86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87" i="7"/>
  <c r="G88" i="7"/>
  <c r="G89" i="7"/>
  <c r="G90" i="7"/>
  <c r="G91" i="7"/>
  <c r="G92" i="7"/>
  <c r="G93" i="7"/>
  <c r="G94" i="7"/>
  <c r="G95" i="7"/>
  <c r="G96" i="7"/>
  <c r="G97" i="7"/>
  <c r="G98" i="7"/>
  <c r="E84" i="7"/>
  <c r="E83" i="7"/>
  <c r="E81" i="7"/>
  <c r="E77" i="7"/>
  <c r="E73" i="7"/>
  <c r="B82" i="7"/>
  <c r="B79" i="7"/>
  <c r="B75" i="7"/>
  <c r="B71" i="7"/>
  <c r="E86" i="7"/>
  <c r="E82" i="7"/>
  <c r="E111" i="7"/>
  <c r="E105" i="7"/>
  <c r="E99" i="7"/>
  <c r="E85" i="7"/>
  <c r="E79" i="7"/>
  <c r="E75" i="7"/>
  <c r="E71" i="7"/>
  <c r="L90" i="7"/>
  <c r="L94" i="7"/>
  <c r="L98" i="7"/>
  <c r="K97" i="7"/>
  <c r="K95" i="7"/>
  <c r="K93" i="7"/>
  <c r="K91" i="7"/>
  <c r="K89" i="7"/>
  <c r="K87" i="7"/>
  <c r="H91" i="7"/>
  <c r="J91" i="7"/>
  <c r="H95" i="7"/>
  <c r="J95" i="7"/>
  <c r="L87" i="7"/>
  <c r="L97" i="7"/>
  <c r="H94" i="7"/>
  <c r="J94" i="7"/>
  <c r="L91" i="7"/>
  <c r="L95" i="7"/>
  <c r="H88" i="7"/>
  <c r="J88" i="7"/>
  <c r="H92" i="7"/>
  <c r="J92" i="7"/>
  <c r="H96" i="7"/>
  <c r="J96" i="7"/>
  <c r="L88" i="7"/>
  <c r="L92" i="7"/>
  <c r="L96" i="7"/>
  <c r="K98" i="7"/>
  <c r="K96" i="7"/>
  <c r="K94" i="7"/>
  <c r="K92" i="7"/>
  <c r="K90" i="7"/>
  <c r="K88" i="7"/>
  <c r="H89" i="7"/>
  <c r="J89" i="7"/>
  <c r="H93" i="7"/>
  <c r="J93" i="7"/>
  <c r="H97" i="7"/>
  <c r="J97" i="7"/>
  <c r="L89" i="7"/>
  <c r="L93" i="7"/>
  <c r="H90" i="7"/>
  <c r="J90" i="7"/>
  <c r="H98" i="7"/>
  <c r="J98" i="7"/>
  <c r="H87" i="7"/>
  <c r="J87" i="7"/>
  <c r="C135" i="7"/>
  <c r="H135" i="7"/>
  <c r="J135" i="7"/>
  <c r="L72" i="7"/>
  <c r="O72" i="7"/>
  <c r="L80" i="7"/>
  <c r="O80" i="7"/>
  <c r="L100" i="7"/>
  <c r="O100" i="7"/>
  <c r="L108" i="7"/>
  <c r="O108" i="7"/>
  <c r="L116" i="7"/>
  <c r="O116" i="7"/>
  <c r="L124" i="7"/>
  <c r="O124" i="7"/>
  <c r="L73" i="7"/>
  <c r="O73" i="7"/>
  <c r="L81" i="7"/>
  <c r="O81" i="7"/>
  <c r="L101" i="7"/>
  <c r="O101" i="7"/>
  <c r="L109" i="7"/>
  <c r="O109" i="7"/>
  <c r="L117" i="7"/>
  <c r="O117" i="7"/>
  <c r="L125" i="7"/>
  <c r="O125" i="7"/>
  <c r="L102" i="7"/>
  <c r="O102" i="7"/>
  <c r="L118" i="7"/>
  <c r="O118" i="7"/>
  <c r="L83" i="7"/>
  <c r="O83" i="7"/>
  <c r="L111" i="7"/>
  <c r="O111" i="7"/>
  <c r="L127" i="7"/>
  <c r="O127" i="7"/>
  <c r="L76" i="7"/>
  <c r="O76" i="7"/>
  <c r="L84" i="7"/>
  <c r="O84" i="7"/>
  <c r="L104" i="7"/>
  <c r="O104" i="7"/>
  <c r="L112" i="7"/>
  <c r="O112" i="7"/>
  <c r="L120" i="7"/>
  <c r="O120" i="7"/>
  <c r="L128" i="7"/>
  <c r="O128" i="7"/>
  <c r="L77" i="7"/>
  <c r="O77" i="7"/>
  <c r="L85" i="7"/>
  <c r="O85" i="7"/>
  <c r="L105" i="7"/>
  <c r="O105" i="7"/>
  <c r="L113" i="7"/>
  <c r="O113" i="7"/>
  <c r="L121" i="7"/>
  <c r="O121" i="7"/>
  <c r="L71" i="7"/>
  <c r="O71" i="7"/>
  <c r="L78" i="7"/>
  <c r="O78" i="7"/>
  <c r="L86" i="7"/>
  <c r="O86" i="7"/>
  <c r="L106" i="7"/>
  <c r="O106" i="7"/>
  <c r="L114" i="7"/>
  <c r="O114" i="7"/>
  <c r="L122" i="7"/>
  <c r="O122" i="7"/>
  <c r="L79" i="7"/>
  <c r="O79" i="7"/>
  <c r="L99" i="7"/>
  <c r="O99" i="7"/>
  <c r="L107" i="7"/>
  <c r="O107" i="7"/>
  <c r="L115" i="7"/>
  <c r="O115" i="7"/>
  <c r="L123" i="7"/>
  <c r="O123" i="7"/>
  <c r="L74" i="7"/>
  <c r="O74" i="7"/>
  <c r="L82" i="7"/>
  <c r="O82" i="7"/>
  <c r="L110" i="7"/>
  <c r="O110" i="7"/>
  <c r="L126" i="7"/>
  <c r="O126" i="7"/>
  <c r="L75" i="7"/>
  <c r="O75" i="7"/>
  <c r="L103" i="7"/>
  <c r="O103" i="7"/>
  <c r="L119" i="7"/>
  <c r="O119" i="7"/>
  <c r="L132" i="7"/>
  <c r="O132" i="7"/>
  <c r="L133" i="7"/>
  <c r="O133" i="7"/>
  <c r="L134" i="7"/>
  <c r="O134" i="7"/>
  <c r="L129" i="7"/>
  <c r="O129" i="7"/>
  <c r="L130" i="7"/>
  <c r="O130" i="7"/>
  <c r="L131" i="7"/>
  <c r="O131" i="7"/>
  <c r="H132" i="7"/>
  <c r="J132" i="7"/>
  <c r="H129" i="7"/>
  <c r="J129" i="7"/>
  <c r="K134" i="7"/>
  <c r="K133" i="7"/>
  <c r="K131" i="7"/>
  <c r="K130" i="7"/>
  <c r="H134" i="7"/>
  <c r="J134" i="7"/>
  <c r="H133" i="7"/>
  <c r="J133" i="7"/>
  <c r="H131" i="7"/>
  <c r="J131" i="7"/>
  <c r="H130" i="7"/>
  <c r="J130" i="7"/>
  <c r="K125" i="7"/>
  <c r="H125" i="7"/>
  <c r="J125" i="7"/>
  <c r="K132" i="7"/>
  <c r="K129" i="7"/>
  <c r="K126" i="7"/>
  <c r="H126" i="7"/>
  <c r="J126" i="7"/>
  <c r="K128" i="7"/>
  <c r="K127" i="7"/>
  <c r="K124" i="7"/>
  <c r="H128" i="7"/>
  <c r="J128" i="7"/>
  <c r="H127" i="7"/>
  <c r="J127" i="7"/>
  <c r="H124" i="7"/>
  <c r="J124" i="7"/>
  <c r="K123" i="7"/>
  <c r="H123" i="7"/>
  <c r="J123" i="7"/>
  <c r="K122" i="7"/>
  <c r="H122" i="7"/>
  <c r="J122" i="7"/>
  <c r="H120" i="7"/>
  <c r="J120" i="7"/>
  <c r="K119" i="7"/>
  <c r="K118" i="7"/>
  <c r="H119" i="7"/>
  <c r="J119" i="7"/>
  <c r="H118" i="7"/>
  <c r="J118" i="7"/>
  <c r="K120" i="7"/>
  <c r="H121" i="7"/>
  <c r="J121" i="7"/>
  <c r="H112" i="7"/>
  <c r="J112" i="7"/>
  <c r="K121" i="7"/>
  <c r="K116" i="7"/>
  <c r="K115" i="7"/>
  <c r="K113" i="7"/>
  <c r="K112" i="7"/>
  <c r="H116" i="7"/>
  <c r="J116" i="7"/>
  <c r="H115" i="7"/>
  <c r="J115" i="7"/>
  <c r="H113" i="7"/>
  <c r="J113" i="7"/>
  <c r="K117" i="7"/>
  <c r="K114" i="7"/>
  <c r="H117" i="7"/>
  <c r="J117" i="7"/>
  <c r="H114" i="7"/>
  <c r="J114" i="7"/>
  <c r="K110" i="7"/>
  <c r="K108" i="7"/>
  <c r="K106" i="7"/>
  <c r="H110" i="7"/>
  <c r="J110" i="7"/>
  <c r="H108" i="7"/>
  <c r="J108" i="7"/>
  <c r="H106" i="7"/>
  <c r="J106" i="7"/>
  <c r="K109" i="7"/>
  <c r="K107" i="7"/>
  <c r="H109" i="7"/>
  <c r="J109" i="7"/>
  <c r="H107" i="7"/>
  <c r="J107" i="7"/>
  <c r="K103" i="7"/>
  <c r="K101" i="7"/>
  <c r="H103" i="7"/>
  <c r="J103" i="7"/>
  <c r="H101" i="7"/>
  <c r="J101" i="7"/>
  <c r="K104" i="7"/>
  <c r="K102" i="7"/>
  <c r="K100" i="7"/>
  <c r="H104" i="7"/>
  <c r="J104" i="7"/>
  <c r="H102" i="7"/>
  <c r="J102" i="7"/>
  <c r="H100" i="7"/>
  <c r="J100" i="7"/>
  <c r="K78" i="7"/>
  <c r="H78" i="7"/>
  <c r="J78" i="7"/>
  <c r="K74" i="7"/>
  <c r="H74" i="7"/>
  <c r="J74" i="7"/>
  <c r="K72" i="7"/>
  <c r="H72" i="7"/>
  <c r="J72" i="7"/>
  <c r="K76" i="7"/>
  <c r="H76" i="7"/>
  <c r="J76" i="7"/>
  <c r="H80" i="7"/>
  <c r="J80" i="7"/>
  <c r="K80" i="7"/>
  <c r="K82" i="7"/>
  <c r="K85" i="7"/>
  <c r="K99" i="7"/>
  <c r="K105" i="7"/>
  <c r="K77" i="7"/>
  <c r="K79" i="7"/>
  <c r="K71" i="7"/>
  <c r="K86" i="7"/>
  <c r="K73" i="7"/>
  <c r="K111" i="7"/>
  <c r="K83" i="7"/>
  <c r="K81" i="7"/>
  <c r="K75" i="7"/>
  <c r="H84" i="7"/>
  <c r="J84" i="7"/>
  <c r="H111" i="7"/>
  <c r="J111" i="7"/>
  <c r="H105" i="7"/>
  <c r="J105" i="7"/>
  <c r="H82" i="7"/>
  <c r="J82" i="7"/>
  <c r="H81" i="7"/>
  <c r="J81" i="7"/>
  <c r="H99" i="7"/>
  <c r="J99" i="7"/>
  <c r="H79" i="7"/>
  <c r="J79" i="7"/>
  <c r="H77" i="7"/>
  <c r="J77" i="7"/>
  <c r="H71" i="7"/>
  <c r="J71" i="7"/>
  <c r="H86" i="7"/>
  <c r="J86" i="7"/>
  <c r="H75" i="7"/>
  <c r="J75" i="7"/>
  <c r="H85" i="7"/>
  <c r="J85" i="7"/>
  <c r="H73" i="7"/>
  <c r="J73" i="7"/>
  <c r="H83" i="7"/>
  <c r="J83" i="7"/>
  <c r="N89" i="7"/>
  <c r="D89" i="7"/>
  <c r="O89" i="7"/>
  <c r="N87" i="7"/>
  <c r="D87" i="7"/>
  <c r="O87" i="7"/>
  <c r="N96" i="7"/>
  <c r="D96" i="7"/>
  <c r="O96" i="7"/>
  <c r="O94" i="7"/>
  <c r="N94" i="7"/>
  <c r="D94" i="7"/>
  <c r="O88" i="7"/>
  <c r="N88" i="7"/>
  <c r="D88" i="7"/>
  <c r="N95" i="7"/>
  <c r="D95" i="7"/>
  <c r="O95" i="7"/>
  <c r="N91" i="7"/>
  <c r="D91" i="7"/>
  <c r="O91" i="7"/>
  <c r="O98" i="7"/>
  <c r="N98" i="7"/>
  <c r="D98" i="7"/>
  <c r="N93" i="7"/>
  <c r="D93" i="7"/>
  <c r="O93" i="7"/>
  <c r="O92" i="7"/>
  <c r="N92" i="7"/>
  <c r="D92" i="7"/>
  <c r="N97" i="7"/>
  <c r="D97" i="7"/>
  <c r="O97" i="7"/>
  <c r="N90" i="7"/>
  <c r="D90" i="7"/>
  <c r="O90" i="7"/>
  <c r="L135" i="7"/>
  <c r="K135" i="7"/>
  <c r="N124" i="7"/>
  <c r="D124" i="7"/>
  <c r="N134" i="7"/>
  <c r="D134" i="7"/>
  <c r="N127" i="7"/>
  <c r="D127" i="7"/>
  <c r="N104" i="7"/>
  <c r="D104" i="7"/>
  <c r="N122" i="7"/>
  <c r="D122" i="7"/>
  <c r="N101" i="7"/>
  <c r="D101" i="7"/>
  <c r="N82" i="7"/>
  <c r="D82" i="7"/>
  <c r="N103" i="7"/>
  <c r="D103" i="7"/>
  <c r="N107" i="7"/>
  <c r="D107" i="7"/>
  <c r="N106" i="7"/>
  <c r="D106" i="7"/>
  <c r="N130" i="7"/>
  <c r="D130" i="7"/>
  <c r="N109" i="7"/>
  <c r="D109" i="7"/>
  <c r="N131" i="7"/>
  <c r="D131" i="7"/>
  <c r="N110" i="7"/>
  <c r="D110" i="7"/>
  <c r="N133" i="7"/>
  <c r="D133" i="7"/>
  <c r="N126" i="7"/>
  <c r="D126" i="7"/>
  <c r="N132" i="7"/>
  <c r="N129" i="7"/>
  <c r="N128" i="7"/>
  <c r="N125" i="7"/>
  <c r="N123" i="7"/>
  <c r="N119" i="7"/>
  <c r="N118" i="7"/>
  <c r="N120" i="7"/>
  <c r="N113" i="7"/>
  <c r="N115" i="7"/>
  <c r="N116" i="7"/>
  <c r="N112" i="7"/>
  <c r="N114" i="7"/>
  <c r="N121" i="7"/>
  <c r="N117" i="7"/>
  <c r="N74" i="7"/>
  <c r="N100" i="7"/>
  <c r="N108" i="7"/>
  <c r="N102" i="7"/>
  <c r="N78" i="7"/>
  <c r="N72" i="7"/>
  <c r="N76" i="7"/>
  <c r="N80" i="7"/>
  <c r="N86" i="7"/>
  <c r="N85" i="7"/>
  <c r="N83" i="7"/>
  <c r="N77" i="7"/>
  <c r="N79" i="7"/>
  <c r="N73" i="7"/>
  <c r="K84" i="7"/>
  <c r="N84" i="7"/>
  <c r="N71" i="7"/>
  <c r="N105" i="7"/>
  <c r="N75" i="7"/>
  <c r="N111" i="7"/>
  <c r="N99" i="7"/>
  <c r="N81" i="7"/>
  <c r="S5" i="6"/>
  <c r="S4" i="6"/>
  <c r="L23" i="7"/>
  <c r="L24" i="7"/>
  <c r="L25" i="7"/>
  <c r="L28" i="7"/>
  <c r="L29" i="7"/>
  <c r="L30" i="7"/>
  <c r="L31" i="7"/>
  <c r="L40" i="7"/>
  <c r="L41" i="7"/>
  <c r="L44" i="7"/>
  <c r="L45" i="7"/>
  <c r="L46" i="7"/>
  <c r="L47" i="7"/>
  <c r="L48" i="7"/>
  <c r="L49" i="7"/>
  <c r="L52" i="7"/>
  <c r="L53" i="7"/>
  <c r="L54" i="7"/>
  <c r="L55" i="7"/>
  <c r="L56" i="7"/>
  <c r="L57" i="7"/>
  <c r="L58" i="7"/>
  <c r="L59" i="7"/>
  <c r="L62" i="7"/>
  <c r="L63" i="7"/>
  <c r="L64" i="7"/>
  <c r="L65" i="7"/>
  <c r="L66" i="7"/>
  <c r="L67" i="7"/>
  <c r="B23" i="7"/>
  <c r="L22" i="7"/>
  <c r="L19" i="7"/>
  <c r="L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32" i="7"/>
  <c r="H33" i="7"/>
  <c r="H34" i="7"/>
  <c r="H35" i="7"/>
  <c r="H36" i="7"/>
  <c r="H37" i="7"/>
  <c r="H38" i="7"/>
  <c r="H39" i="7"/>
  <c r="F52" i="7"/>
  <c r="F53" i="7"/>
  <c r="F54" i="7"/>
  <c r="F55" i="7"/>
  <c r="F56" i="7"/>
  <c r="F57" i="7"/>
  <c r="F66" i="7"/>
  <c r="F67" i="7"/>
  <c r="F40" i="7"/>
  <c r="F41" i="7"/>
  <c r="F44" i="7"/>
  <c r="F45" i="7"/>
  <c r="F58" i="7"/>
  <c r="F59" i="7"/>
  <c r="F62" i="7"/>
  <c r="F63" i="7"/>
  <c r="F24" i="7"/>
  <c r="F25" i="7"/>
  <c r="F28" i="7"/>
  <c r="F29" i="7"/>
  <c r="B19" i="7"/>
  <c r="F22" i="7"/>
  <c r="F19" i="7"/>
  <c r="F65" i="7"/>
  <c r="F64" i="7"/>
  <c r="F49" i="7"/>
  <c r="F48" i="7"/>
  <c r="F47" i="7"/>
  <c r="F46" i="7"/>
  <c r="F31" i="7"/>
  <c r="F30" i="7"/>
  <c r="F23" i="7"/>
  <c r="F18" i="7"/>
  <c r="D5" i="7"/>
  <c r="D7" i="7"/>
  <c r="D13" i="7"/>
  <c r="D11" i="7"/>
  <c r="D15" i="7"/>
  <c r="C14" i="6"/>
  <c r="G77" i="2"/>
  <c r="H15" i="11"/>
  <c r="I77" i="2"/>
  <c r="O136" i="7"/>
  <c r="D7" i="6"/>
  <c r="E7" i="6"/>
  <c r="F7" i="6"/>
  <c r="D6" i="6"/>
  <c r="E6" i="6"/>
  <c r="F6" i="6"/>
  <c r="K39" i="7"/>
  <c r="K35" i="7"/>
  <c r="K38" i="7"/>
  <c r="K34" i="7"/>
  <c r="K37" i="7"/>
  <c r="K33" i="7"/>
  <c r="K36" i="7"/>
  <c r="K32" i="7"/>
  <c r="K34" i="6"/>
  <c r="U34" i="6"/>
  <c r="K61" i="7"/>
  <c r="K60" i="7"/>
  <c r="K50" i="7"/>
  <c r="K51" i="7"/>
  <c r="K43" i="7"/>
  <c r="K42" i="7"/>
  <c r="K27" i="7"/>
  <c r="K26" i="7"/>
  <c r="K21" i="7"/>
  <c r="K20" i="7"/>
  <c r="D11" i="6"/>
  <c r="E11" i="6"/>
  <c r="F11" i="6"/>
  <c r="D10" i="6"/>
  <c r="E10" i="6"/>
  <c r="G10" i="6"/>
  <c r="D9" i="6"/>
  <c r="E9" i="6"/>
  <c r="F9" i="6"/>
  <c r="D8" i="6"/>
  <c r="E8" i="6"/>
  <c r="G8" i="6"/>
  <c r="D5" i="6"/>
  <c r="E5" i="6"/>
  <c r="F5" i="6"/>
  <c r="D4" i="6"/>
  <c r="E4" i="6"/>
  <c r="D13" i="6"/>
  <c r="E13" i="6"/>
  <c r="F13" i="6"/>
  <c r="D3" i="6"/>
  <c r="E3" i="6"/>
  <c r="F3" i="6"/>
  <c r="D12" i="6"/>
  <c r="E12" i="6"/>
  <c r="G12" i="6"/>
  <c r="D2" i="6"/>
  <c r="E2" i="6"/>
  <c r="G2" i="6"/>
  <c r="N135" i="7"/>
  <c r="N136" i="7"/>
  <c r="D120" i="7"/>
  <c r="D71" i="7"/>
  <c r="D74" i="7"/>
  <c r="D116" i="7"/>
  <c r="D125" i="7"/>
  <c r="D81" i="7"/>
  <c r="D84" i="7"/>
  <c r="D80" i="7"/>
  <c r="D115" i="7"/>
  <c r="D128" i="7"/>
  <c r="D99" i="7"/>
  <c r="D73" i="7"/>
  <c r="D76" i="7"/>
  <c r="D117" i="7"/>
  <c r="D113" i="7"/>
  <c r="D129" i="7"/>
  <c r="D72" i="7"/>
  <c r="D111" i="7"/>
  <c r="D121" i="7"/>
  <c r="D77" i="7"/>
  <c r="D78" i="7"/>
  <c r="D114" i="7"/>
  <c r="D75" i="7"/>
  <c r="D83" i="7"/>
  <c r="D102" i="7"/>
  <c r="D112" i="7"/>
  <c r="D118" i="7"/>
  <c r="D79" i="7"/>
  <c r="D132" i="7"/>
  <c r="D85" i="7"/>
  <c r="D108" i="7"/>
  <c r="D119" i="7"/>
  <c r="D105" i="7"/>
  <c r="D86" i="7"/>
  <c r="D100" i="7"/>
  <c r="D123" i="7"/>
  <c r="S2" i="6"/>
  <c r="S3" i="6"/>
  <c r="K67" i="7"/>
  <c r="K28" i="7"/>
  <c r="K65" i="7"/>
  <c r="K54" i="7"/>
  <c r="K44" i="7"/>
  <c r="K64" i="7"/>
  <c r="K53" i="7"/>
  <c r="K41" i="7"/>
  <c r="K23" i="7"/>
  <c r="K63" i="7"/>
  <c r="K52" i="7"/>
  <c r="K40" i="7"/>
  <c r="K22" i="7"/>
  <c r="K62" i="7"/>
  <c r="K49" i="7"/>
  <c r="K31" i="7"/>
  <c r="K19" i="7"/>
  <c r="K59" i="7"/>
  <c r="K58" i="7"/>
  <c r="K48" i="7"/>
  <c r="K30" i="7"/>
  <c r="K18" i="7"/>
  <c r="K57" i="7"/>
  <c r="K47" i="7"/>
  <c r="K29" i="7"/>
  <c r="K56" i="7"/>
  <c r="K46" i="7"/>
  <c r="K55" i="7"/>
  <c r="K45" i="7"/>
  <c r="K25" i="7"/>
  <c r="K24" i="7"/>
  <c r="D6" i="7"/>
  <c r="D10" i="7"/>
  <c r="D12" i="7"/>
  <c r="D14" i="7"/>
  <c r="D4" i="7"/>
  <c r="G16" i="6"/>
  <c r="H16" i="6"/>
  <c r="D16" i="6"/>
  <c r="Q23" i="6"/>
  <c r="X18" i="6"/>
  <c r="X20" i="6"/>
  <c r="X22" i="6"/>
  <c r="X24" i="6"/>
  <c r="X26" i="6"/>
  <c r="X28" i="6"/>
  <c r="W19" i="6"/>
  <c r="W21" i="6"/>
  <c r="W23" i="6"/>
  <c r="W25" i="6"/>
  <c r="W27" i="6"/>
  <c r="X17" i="6"/>
  <c r="W20" i="6"/>
  <c r="W24" i="6"/>
  <c r="W28" i="6"/>
  <c r="X19" i="6"/>
  <c r="X21" i="6"/>
  <c r="X23" i="6"/>
  <c r="X25" i="6"/>
  <c r="X27" i="6"/>
  <c r="W17" i="6"/>
  <c r="W29" i="6"/>
  <c r="M40" i="11"/>
  <c r="W18" i="6"/>
  <c r="W22" i="6"/>
  <c r="W26" i="6"/>
  <c r="G4" i="6"/>
  <c r="F4" i="6"/>
  <c r="Q22" i="6"/>
  <c r="D22" i="6"/>
  <c r="R22" i="6"/>
  <c r="D21" i="6"/>
  <c r="Q21" i="6"/>
  <c r="R21" i="6"/>
  <c r="G6" i="6"/>
  <c r="F12" i="6"/>
  <c r="F8" i="6"/>
  <c r="F10" i="6"/>
  <c r="M34" i="6"/>
  <c r="K35" i="6"/>
  <c r="U35" i="6"/>
  <c r="I76" i="2"/>
  <c r="F2" i="6"/>
  <c r="R18" i="6"/>
  <c r="R19" i="6"/>
  <c r="R26" i="6"/>
  <c r="Q24" i="6"/>
  <c r="R27" i="6"/>
  <c r="Q25" i="6"/>
  <c r="R28" i="6"/>
  <c r="Q26" i="6"/>
  <c r="R17" i="6"/>
  <c r="Q27" i="6"/>
  <c r="R20" i="6"/>
  <c r="Q18" i="6"/>
  <c r="Q28" i="6"/>
  <c r="R23" i="6"/>
  <c r="Q19" i="6"/>
  <c r="Q17" i="6"/>
  <c r="R24" i="6"/>
  <c r="Q20" i="6"/>
  <c r="R25" i="6"/>
  <c r="D135" i="7"/>
  <c r="D137" i="7"/>
  <c r="D24" i="6"/>
  <c r="D25" i="6"/>
  <c r="D26" i="6"/>
  <c r="D27" i="6"/>
  <c r="D18" i="6"/>
  <c r="D28" i="6"/>
  <c r="D19" i="6"/>
  <c r="D17" i="6"/>
  <c r="D20" i="6"/>
  <c r="D23" i="6"/>
  <c r="G17" i="6"/>
  <c r="G18" i="6"/>
  <c r="G19" i="6"/>
  <c r="G20" i="6"/>
  <c r="E16" i="6"/>
  <c r="G23" i="6"/>
  <c r="G24" i="6"/>
  <c r="G25" i="6"/>
  <c r="G26" i="6"/>
  <c r="G27" i="6"/>
  <c r="G28" i="6"/>
  <c r="G21" i="6"/>
  <c r="G22" i="6"/>
  <c r="Q29" i="6"/>
  <c r="R29" i="6"/>
  <c r="T22" i="6"/>
  <c r="H22" i="6"/>
  <c r="J22" i="6"/>
  <c r="M22" i="6"/>
  <c r="S21" i="6"/>
  <c r="H21" i="6"/>
  <c r="M35" i="6"/>
  <c r="F14" i="6"/>
  <c r="K36" i="6"/>
  <c r="V36" i="6"/>
  <c r="D136" i="7"/>
  <c r="K66" i="7"/>
  <c r="K68" i="7"/>
  <c r="H19" i="6"/>
  <c r="J19" i="6"/>
  <c r="M19" i="6"/>
  <c r="H26" i="6"/>
  <c r="J26" i="6"/>
  <c r="M26" i="6"/>
  <c r="S17" i="6"/>
  <c r="H17" i="6"/>
  <c r="J17" i="6"/>
  <c r="M17" i="6"/>
  <c r="S27" i="6"/>
  <c r="H27" i="6"/>
  <c r="T18" i="6"/>
  <c r="H18" i="6"/>
  <c r="J18" i="6"/>
  <c r="M18" i="6"/>
  <c r="S23" i="6"/>
  <c r="H23" i="6"/>
  <c r="S25" i="6"/>
  <c r="H25" i="6"/>
  <c r="J25" i="6"/>
  <c r="M25" i="6"/>
  <c r="T28" i="6"/>
  <c r="H28" i="6"/>
  <c r="T20" i="6"/>
  <c r="H20" i="6"/>
  <c r="J20" i="6"/>
  <c r="M20" i="6"/>
  <c r="T24" i="6"/>
  <c r="H24" i="6"/>
  <c r="J24" i="6"/>
  <c r="M24" i="6"/>
  <c r="T26" i="6"/>
  <c r="S19" i="6"/>
  <c r="H25" i="11"/>
  <c r="H35" i="11"/>
  <c r="G60" i="12"/>
  <c r="I60" i="12"/>
  <c r="G52" i="12"/>
  <c r="I52" i="12"/>
  <c r="G54" i="12"/>
  <c r="I54" i="12"/>
  <c r="G46" i="12"/>
  <c r="I46" i="12"/>
  <c r="G56" i="12"/>
  <c r="I56" i="12"/>
  <c r="G48" i="12"/>
  <c r="I48" i="12"/>
  <c r="G58" i="12"/>
  <c r="I58" i="12"/>
  <c r="G50" i="12"/>
  <c r="I50" i="12"/>
  <c r="J27" i="6"/>
  <c r="M27" i="6"/>
  <c r="G57" i="12"/>
  <c r="I57" i="12"/>
  <c r="G49" i="12"/>
  <c r="I49" i="12"/>
  <c r="G59" i="12"/>
  <c r="I59" i="12"/>
  <c r="G55" i="12"/>
  <c r="I55" i="12"/>
  <c r="G53" i="12"/>
  <c r="I53" i="12"/>
  <c r="G51" i="12"/>
  <c r="I51" i="12"/>
  <c r="G47" i="12"/>
  <c r="I47" i="12"/>
  <c r="G45" i="12"/>
  <c r="J23" i="6"/>
  <c r="M23" i="6"/>
  <c r="H23" i="11"/>
  <c r="G23" i="11"/>
  <c r="I43" i="2"/>
  <c r="G48" i="2"/>
  <c r="I48" i="2"/>
  <c r="G56" i="2"/>
  <c r="I56" i="2"/>
  <c r="G46" i="2"/>
  <c r="I46" i="2"/>
  <c r="G60" i="2"/>
  <c r="I60" i="2"/>
  <c r="G52" i="2"/>
  <c r="I52" i="2"/>
  <c r="G54" i="2"/>
  <c r="I54" i="2"/>
  <c r="G58" i="2"/>
  <c r="I58" i="2"/>
  <c r="G50" i="2"/>
  <c r="I50" i="2"/>
  <c r="J21" i="6"/>
  <c r="M21" i="6"/>
  <c r="F21" i="6"/>
  <c r="E21" i="6"/>
  <c r="K21" i="6"/>
  <c r="N21" i="6"/>
  <c r="F22" i="6"/>
  <c r="E22" i="6"/>
  <c r="K22" i="6"/>
  <c r="N22" i="6"/>
  <c r="K37" i="6"/>
  <c r="V37" i="6"/>
  <c r="M36" i="6"/>
  <c r="G57" i="2"/>
  <c r="I57" i="2"/>
  <c r="G49" i="2"/>
  <c r="I49" i="2"/>
  <c r="G55" i="2"/>
  <c r="I55" i="2"/>
  <c r="G45" i="2"/>
  <c r="G53" i="2"/>
  <c r="I53" i="2"/>
  <c r="G51" i="2"/>
  <c r="I51" i="2"/>
  <c r="G59" i="2"/>
  <c r="I59" i="2"/>
  <c r="G47" i="2"/>
  <c r="I47" i="2"/>
  <c r="J28" i="6"/>
  <c r="M28" i="6"/>
  <c r="F17" i="6"/>
  <c r="E17" i="6"/>
  <c r="K17" i="6"/>
  <c r="T29" i="6"/>
  <c r="S29" i="6"/>
  <c r="H29" i="6"/>
  <c r="F18" i="6"/>
  <c r="E18" i="6"/>
  <c r="K18" i="6"/>
  <c r="G62" i="12"/>
  <c r="D14" i="6"/>
  <c r="G17" i="11"/>
  <c r="I45" i="2"/>
  <c r="I66" i="2"/>
  <c r="G66" i="2"/>
  <c r="I45" i="12"/>
  <c r="I62" i="12"/>
  <c r="K38" i="6"/>
  <c r="V38" i="6"/>
  <c r="M37" i="6"/>
  <c r="G32" i="6"/>
  <c r="G14" i="6"/>
  <c r="G18" i="11"/>
  <c r="G40" i="12"/>
  <c r="I40" i="12"/>
  <c r="G24" i="2"/>
  <c r="J29" i="6"/>
  <c r="G29" i="11"/>
  <c r="G36" i="6"/>
  <c r="N17" i="6"/>
  <c r="H6" i="6"/>
  <c r="H5" i="6"/>
  <c r="H4" i="6"/>
  <c r="H3" i="6"/>
  <c r="N18" i="6"/>
  <c r="F19" i="6"/>
  <c r="E19" i="6"/>
  <c r="K19" i="6"/>
  <c r="G43" i="2"/>
  <c r="I41" i="2"/>
  <c r="G41" i="2"/>
  <c r="H17" i="11"/>
  <c r="G25" i="12"/>
  <c r="G25" i="2"/>
  <c r="G24" i="12"/>
  <c r="I24" i="12"/>
  <c r="H18" i="11"/>
  <c r="G39" i="12"/>
  <c r="I39" i="12"/>
  <c r="L29" i="11"/>
  <c r="G36" i="12"/>
  <c r="G35" i="12"/>
  <c r="I35" i="12"/>
  <c r="G31" i="12"/>
  <c r="I31" i="12"/>
  <c r="G30" i="12"/>
  <c r="I30" i="12"/>
  <c r="G32" i="12"/>
  <c r="I32" i="12"/>
  <c r="G29" i="12"/>
  <c r="I29" i="12"/>
  <c r="G39" i="2"/>
  <c r="I39" i="2"/>
  <c r="G40" i="2"/>
  <c r="I40" i="2"/>
  <c r="G36" i="2"/>
  <c r="I36" i="2"/>
  <c r="G29" i="2"/>
  <c r="I29" i="2"/>
  <c r="G30" i="2"/>
  <c r="M38" i="6"/>
  <c r="K39" i="6"/>
  <c r="V39" i="6"/>
  <c r="G37" i="6"/>
  <c r="C39" i="6"/>
  <c r="G35" i="2"/>
  <c r="I35" i="2"/>
  <c r="I24" i="2"/>
  <c r="R34" i="6"/>
  <c r="O33" i="6"/>
  <c r="N19" i="6"/>
  <c r="F20" i="6"/>
  <c r="E20" i="6"/>
  <c r="K20" i="6"/>
  <c r="I36" i="12"/>
  <c r="I61" i="12"/>
  <c r="I41" i="12"/>
  <c r="G41" i="12"/>
  <c r="G44" i="2"/>
  <c r="G42" i="2"/>
  <c r="I42" i="2"/>
  <c r="I42" i="12"/>
  <c r="G42" i="12"/>
  <c r="G43" i="12"/>
  <c r="I43" i="12"/>
  <c r="G44" i="12"/>
  <c r="I44" i="12"/>
  <c r="I25" i="12"/>
  <c r="I25" i="2"/>
  <c r="M39" i="6"/>
  <c r="C43" i="6"/>
  <c r="K40" i="6"/>
  <c r="U40" i="6"/>
  <c r="C41" i="6"/>
  <c r="C46" i="6"/>
  <c r="C40" i="6"/>
  <c r="C44" i="6"/>
  <c r="C42" i="6"/>
  <c r="C45" i="6"/>
  <c r="C47" i="6"/>
  <c r="O44" i="6"/>
  <c r="O45" i="6"/>
  <c r="A75" i="3"/>
  <c r="M72" i="11"/>
  <c r="A78" i="3"/>
  <c r="A77" i="3"/>
  <c r="A76" i="3"/>
  <c r="R35" i="6"/>
  <c r="T34" i="6"/>
  <c r="A69" i="3"/>
  <c r="L66" i="11"/>
  <c r="A71" i="3"/>
  <c r="L67" i="11"/>
  <c r="A72" i="3"/>
  <c r="L71" i="11"/>
  <c r="A73" i="3"/>
  <c r="L70" i="11"/>
  <c r="A68" i="3"/>
  <c r="L63" i="11"/>
  <c r="A70" i="3"/>
  <c r="L64" i="11"/>
  <c r="A67" i="3"/>
  <c r="L61" i="11"/>
  <c r="A208" i="3"/>
  <c r="F54" i="11"/>
  <c r="A205" i="3"/>
  <c r="A206" i="3"/>
  <c r="B46" i="1"/>
  <c r="A207" i="3"/>
  <c r="A107" i="3"/>
  <c r="E50" i="1"/>
  <c r="A106" i="3"/>
  <c r="A108" i="3"/>
  <c r="P44" i="1"/>
  <c r="A203" i="3"/>
  <c r="B12" i="1"/>
  <c r="A204" i="3"/>
  <c r="B28" i="1"/>
  <c r="A150" i="3"/>
  <c r="A30" i="3"/>
  <c r="A33" i="3"/>
  <c r="A32" i="3"/>
  <c r="B6" i="12"/>
  <c r="A34" i="3"/>
  <c r="A16" i="3"/>
  <c r="F18" i="11"/>
  <c r="A120" i="3"/>
  <c r="A121" i="3"/>
  <c r="O38" i="6"/>
  <c r="P38" i="6"/>
  <c r="O40" i="6"/>
  <c r="O41" i="6"/>
  <c r="O42" i="6"/>
  <c r="O35" i="6"/>
  <c r="O43" i="6"/>
  <c r="O36" i="6"/>
  <c r="P36" i="6"/>
  <c r="O34" i="6"/>
  <c r="O37" i="6"/>
  <c r="P37" i="6"/>
  <c r="O39" i="6"/>
  <c r="A138" i="3"/>
  <c r="M39" i="11"/>
  <c r="A139" i="3"/>
  <c r="M41" i="11"/>
  <c r="A135" i="3"/>
  <c r="F42" i="11"/>
  <c r="A137" i="3"/>
  <c r="F43" i="11"/>
  <c r="A134" i="3"/>
  <c r="F40" i="11"/>
  <c r="A136" i="3"/>
  <c r="F41" i="11"/>
  <c r="A216" i="3"/>
  <c r="A60" i="11"/>
  <c r="A220" i="3"/>
  <c r="C68" i="11"/>
  <c r="A217" i="3"/>
  <c r="D60" i="11"/>
  <c r="A218" i="3"/>
  <c r="A64" i="11"/>
  <c r="A219" i="3"/>
  <c r="D64" i="11"/>
  <c r="A162" i="3"/>
  <c r="F23" i="11"/>
  <c r="N20" i="6"/>
  <c r="A42" i="3"/>
  <c r="A19" i="3"/>
  <c r="F23" i="6"/>
  <c r="E23" i="6"/>
  <c r="K23" i="6"/>
  <c r="A127" i="3"/>
  <c r="F27" i="11"/>
  <c r="A39" i="3"/>
  <c r="G6" i="12"/>
  <c r="A131" i="3"/>
  <c r="F29" i="11"/>
  <c r="A132" i="3"/>
  <c r="A133" i="3"/>
  <c r="F36" i="11"/>
  <c r="A21" i="3"/>
  <c r="A126" i="3"/>
  <c r="F26" i="11"/>
  <c r="A129" i="3"/>
  <c r="F37" i="11"/>
  <c r="A128" i="3"/>
  <c r="A130" i="3"/>
  <c r="F32" i="11"/>
  <c r="F6" i="2"/>
  <c r="F6" i="12"/>
  <c r="P39" i="6"/>
  <c r="M40" i="6"/>
  <c r="P40" i="6"/>
  <c r="K41" i="6"/>
  <c r="U41" i="6"/>
  <c r="AC74" i="6"/>
  <c r="N71" i="11"/>
  <c r="AC73" i="6"/>
  <c r="N70" i="11"/>
  <c r="R36" i="6"/>
  <c r="S36" i="6"/>
  <c r="T35" i="6"/>
  <c r="P34" i="6"/>
  <c r="P35" i="6"/>
  <c r="L5" i="5"/>
  <c r="B5" i="5"/>
  <c r="B6" i="2"/>
  <c r="G6" i="2"/>
  <c r="G5" i="5"/>
  <c r="C5" i="5"/>
  <c r="N23" i="6"/>
  <c r="F24" i="6"/>
  <c r="E24" i="6"/>
  <c r="K24" i="6"/>
  <c r="O55" i="1"/>
  <c r="N55" i="1"/>
  <c r="M55" i="1"/>
  <c r="L55" i="1"/>
  <c r="K55" i="1"/>
  <c r="J55" i="1"/>
  <c r="I55" i="1"/>
  <c r="H55" i="1"/>
  <c r="A210" i="3"/>
  <c r="A209" i="3"/>
  <c r="A211" i="3"/>
  <c r="A212" i="3"/>
  <c r="A213" i="3"/>
  <c r="A214" i="3"/>
  <c r="A215" i="3"/>
  <c r="M41" i="6"/>
  <c r="P41" i="6"/>
  <c r="K42" i="6"/>
  <c r="V42" i="6"/>
  <c r="R37" i="6"/>
  <c r="N24" i="6"/>
  <c r="F25" i="6"/>
  <c r="E25" i="6"/>
  <c r="K25" i="6"/>
  <c r="A174" i="3"/>
  <c r="E15" i="4"/>
  <c r="A202" i="3"/>
  <c r="E47" i="4"/>
  <c r="A201" i="3"/>
  <c r="E46" i="4"/>
  <c r="A200" i="3"/>
  <c r="E45" i="4"/>
  <c r="A199" i="3"/>
  <c r="E44" i="4"/>
  <c r="A198" i="3"/>
  <c r="E43" i="4"/>
  <c r="A197" i="3"/>
  <c r="E42" i="4"/>
  <c r="A196" i="3"/>
  <c r="E41" i="4"/>
  <c r="A195" i="3"/>
  <c r="E40" i="4"/>
  <c r="A194" i="3"/>
  <c r="E39" i="4"/>
  <c r="A193" i="3"/>
  <c r="E38" i="4"/>
  <c r="A192" i="3"/>
  <c r="E35" i="4"/>
  <c r="A191" i="3"/>
  <c r="E34" i="4"/>
  <c r="A190" i="3"/>
  <c r="E33" i="4"/>
  <c r="A189" i="3"/>
  <c r="E32" i="4"/>
  <c r="A188" i="3"/>
  <c r="E31" i="4"/>
  <c r="A187" i="3"/>
  <c r="E30" i="4"/>
  <c r="A186" i="3"/>
  <c r="E29" i="4"/>
  <c r="A185" i="3"/>
  <c r="E28" i="4"/>
  <c r="A184" i="3"/>
  <c r="E27" i="4"/>
  <c r="A183" i="3"/>
  <c r="E26" i="4"/>
  <c r="A182" i="3"/>
  <c r="E23" i="4"/>
  <c r="A181" i="3"/>
  <c r="E22" i="4"/>
  <c r="A180" i="3"/>
  <c r="E21" i="4"/>
  <c r="A179" i="3"/>
  <c r="E20" i="4"/>
  <c r="A178" i="3"/>
  <c r="E19" i="4"/>
  <c r="A177" i="3"/>
  <c r="E18" i="4"/>
  <c r="A176" i="3"/>
  <c r="E17" i="4"/>
  <c r="A175" i="3"/>
  <c r="E16" i="4"/>
  <c r="A173" i="3"/>
  <c r="E14" i="4"/>
  <c r="A172" i="3"/>
  <c r="E13" i="4"/>
  <c r="A171" i="3"/>
  <c r="E12" i="4"/>
  <c r="A170" i="3"/>
  <c r="E11" i="4"/>
  <c r="J32" i="4"/>
  <c r="G32" i="4"/>
  <c r="J35" i="4"/>
  <c r="G35" i="4"/>
  <c r="J34" i="4"/>
  <c r="G34" i="4"/>
  <c r="J17" i="4"/>
  <c r="G17" i="4"/>
  <c r="J45" i="4"/>
  <c r="J46" i="4"/>
  <c r="J47" i="4"/>
  <c r="G46" i="4"/>
  <c r="G47" i="4"/>
  <c r="G12" i="4"/>
  <c r="G13" i="4"/>
  <c r="G14" i="4"/>
  <c r="G15" i="4"/>
  <c r="G16" i="4"/>
  <c r="G18" i="4"/>
  <c r="G19" i="4"/>
  <c r="G20" i="4"/>
  <c r="G21" i="4"/>
  <c r="G22" i="4"/>
  <c r="G23" i="4"/>
  <c r="G26" i="4"/>
  <c r="G27" i="4"/>
  <c r="G28" i="4"/>
  <c r="G29" i="4"/>
  <c r="G30" i="4"/>
  <c r="G31" i="4"/>
  <c r="G33" i="4"/>
  <c r="G38" i="4"/>
  <c r="G39" i="4"/>
  <c r="G40" i="4"/>
  <c r="G41" i="4"/>
  <c r="G42" i="4"/>
  <c r="G43" i="4"/>
  <c r="G44" i="4"/>
  <c r="G45" i="4"/>
  <c r="G11" i="4"/>
  <c r="J44" i="4"/>
  <c r="J43" i="4"/>
  <c r="J42" i="4"/>
  <c r="J41" i="4"/>
  <c r="J40" i="4"/>
  <c r="J39" i="4"/>
  <c r="J38" i="4"/>
  <c r="J33" i="4"/>
  <c r="J31" i="4"/>
  <c r="J30" i="4"/>
  <c r="J29" i="4"/>
  <c r="J28" i="4"/>
  <c r="J27" i="4"/>
  <c r="J26" i="4"/>
  <c r="J23" i="4"/>
  <c r="J22" i="4"/>
  <c r="J21" i="4"/>
  <c r="J20" i="4"/>
  <c r="J19" i="4"/>
  <c r="J18" i="4"/>
  <c r="J16" i="4"/>
  <c r="J15" i="4"/>
  <c r="J14" i="4"/>
  <c r="J13" i="4"/>
  <c r="J12" i="4"/>
  <c r="J11" i="4"/>
  <c r="A9" i="4"/>
  <c r="A117" i="3"/>
  <c r="A40" i="3"/>
  <c r="A38" i="3"/>
  <c r="I6" i="12"/>
  <c r="A43" i="3"/>
  <c r="A99" i="3"/>
  <c r="A100" i="3"/>
  <c r="A101" i="3"/>
  <c r="A102" i="3"/>
  <c r="A84" i="3"/>
  <c r="A85" i="3"/>
  <c r="A86" i="3"/>
  <c r="A87" i="3"/>
  <c r="A48" i="3"/>
  <c r="A49" i="3"/>
  <c r="A50" i="3"/>
  <c r="A51" i="3"/>
  <c r="A94" i="3"/>
  <c r="A64" i="3"/>
  <c r="F75" i="12"/>
  <c r="A90" i="3"/>
  <c r="A89" i="3"/>
  <c r="A88" i="3"/>
  <c r="A83" i="3"/>
  <c r="A82" i="3"/>
  <c r="A81" i="3"/>
  <c r="A80" i="3"/>
  <c r="A44" i="3"/>
  <c r="A31" i="3"/>
  <c r="A6" i="12"/>
  <c r="A11" i="3"/>
  <c r="A10" i="3"/>
  <c r="A12" i="3"/>
  <c r="A13" i="3"/>
  <c r="F6" i="11"/>
  <c r="A14" i="3"/>
  <c r="F15" i="11"/>
  <c r="A15" i="3"/>
  <c r="F17" i="11"/>
  <c r="A17" i="3"/>
  <c r="A18" i="3"/>
  <c r="F12" i="11"/>
  <c r="A20" i="3"/>
  <c r="F30" i="11"/>
  <c r="A22" i="3"/>
  <c r="A23" i="3"/>
  <c r="A24" i="3"/>
  <c r="A25" i="3"/>
  <c r="A26" i="3"/>
  <c r="A27" i="3"/>
  <c r="L2" i="6"/>
  <c r="A28" i="3"/>
  <c r="L3" i="6"/>
  <c r="A29" i="3"/>
  <c r="A35" i="3"/>
  <c r="D6" i="12"/>
  <c r="A36" i="3"/>
  <c r="E6" i="12"/>
  <c r="A37" i="3"/>
  <c r="A41" i="3"/>
  <c r="A45" i="3"/>
  <c r="A46" i="3"/>
  <c r="A47" i="3"/>
  <c r="A52" i="3"/>
  <c r="A53" i="3"/>
  <c r="A54" i="3"/>
  <c r="A55" i="3"/>
  <c r="A56" i="3"/>
  <c r="A57" i="3"/>
  <c r="A58" i="3"/>
  <c r="A59" i="3"/>
  <c r="A60" i="3"/>
  <c r="A61" i="3"/>
  <c r="F38" i="11"/>
  <c r="A62" i="3"/>
  <c r="A63" i="3"/>
  <c r="A65" i="3"/>
  <c r="A66" i="3"/>
  <c r="L60" i="11"/>
  <c r="A74" i="3"/>
  <c r="A91" i="3"/>
  <c r="A92" i="3"/>
  <c r="A93" i="3"/>
  <c r="A95" i="3"/>
  <c r="A96" i="3"/>
  <c r="A97" i="3"/>
  <c r="A98" i="3"/>
  <c r="A103" i="3"/>
  <c r="A104" i="3"/>
  <c r="A105" i="3"/>
  <c r="A109" i="3"/>
  <c r="I15" i="1"/>
  <c r="A110" i="3"/>
  <c r="A111" i="3"/>
  <c r="F16" i="11"/>
  <c r="A112" i="3"/>
  <c r="A113" i="3"/>
  <c r="A114" i="3"/>
  <c r="A115" i="3"/>
  <c r="A116" i="3"/>
  <c r="A118" i="3"/>
  <c r="A119" i="3"/>
  <c r="A122" i="3"/>
  <c r="A123" i="3"/>
  <c r="A124" i="3"/>
  <c r="F19" i="11"/>
  <c r="A125" i="3"/>
  <c r="F34" i="11"/>
  <c r="A140" i="3"/>
  <c r="A141" i="3"/>
  <c r="A142" i="3"/>
  <c r="A143" i="3"/>
  <c r="H6" i="12"/>
  <c r="A144" i="3"/>
  <c r="F22" i="11"/>
  <c r="A145" i="3"/>
  <c r="A146" i="3"/>
  <c r="A147" i="3"/>
  <c r="A148" i="3"/>
  <c r="A149" i="3"/>
  <c r="A151" i="3"/>
  <c r="A152" i="3"/>
  <c r="A153" i="3"/>
  <c r="A154" i="3"/>
  <c r="E5" i="4"/>
  <c r="A155" i="3"/>
  <c r="A6" i="4"/>
  <c r="A156" i="3"/>
  <c r="A157" i="3"/>
  <c r="A158" i="3"/>
  <c r="A159" i="3"/>
  <c r="A160" i="3"/>
  <c r="A161" i="3"/>
  <c r="A163" i="3"/>
  <c r="A164" i="3"/>
  <c r="A165" i="3"/>
  <c r="A166" i="3"/>
  <c r="A167" i="3"/>
  <c r="A168" i="3"/>
  <c r="A169" i="3"/>
  <c r="A9" i="3"/>
  <c r="F4" i="11"/>
  <c r="A5" i="2"/>
  <c r="A5" i="12"/>
  <c r="A4" i="12"/>
  <c r="A4" i="2"/>
  <c r="C6" i="2"/>
  <c r="C6" i="12"/>
  <c r="K43" i="6"/>
  <c r="K44" i="6"/>
  <c r="K45" i="6"/>
  <c r="M42" i="6"/>
  <c r="P42" i="6"/>
  <c r="K29" i="4"/>
  <c r="K38" i="4"/>
  <c r="K15" i="4"/>
  <c r="K46" i="4"/>
  <c r="K32" i="4"/>
  <c r="K44" i="4"/>
  <c r="K40" i="4"/>
  <c r="K21" i="4"/>
  <c r="K17" i="4"/>
  <c r="K26" i="4"/>
  <c r="K14" i="4"/>
  <c r="R38" i="6"/>
  <c r="S37" i="6"/>
  <c r="L28" i="1"/>
  <c r="K5" i="5"/>
  <c r="E10" i="4"/>
  <c r="F5" i="5"/>
  <c r="C10" i="4"/>
  <c r="D5" i="5"/>
  <c r="N5" i="5"/>
  <c r="M5" i="5"/>
  <c r="A5" i="5"/>
  <c r="G10" i="4"/>
  <c r="I5" i="5"/>
  <c r="J5" i="5"/>
  <c r="H5" i="5"/>
  <c r="D10" i="4"/>
  <c r="E5" i="5"/>
  <c r="E51" i="4"/>
  <c r="A6" i="2"/>
  <c r="K12" i="4"/>
  <c r="K16" i="4"/>
  <c r="K27" i="4"/>
  <c r="K31" i="4"/>
  <c r="K43" i="4"/>
  <c r="F10" i="4"/>
  <c r="N25" i="6"/>
  <c r="F26" i="6"/>
  <c r="E26" i="6"/>
  <c r="K26" i="6"/>
  <c r="J50" i="4"/>
  <c r="K19" i="4"/>
  <c r="K20" i="4"/>
  <c r="K30" i="4"/>
  <c r="K39" i="4"/>
  <c r="K45" i="4"/>
  <c r="K41" i="4"/>
  <c r="K33" i="4"/>
  <c r="K28" i="4"/>
  <c r="K22" i="4"/>
  <c r="K18" i="4"/>
  <c r="K13" i="4"/>
  <c r="K47" i="4"/>
  <c r="K35" i="4"/>
  <c r="I10" i="4"/>
  <c r="H6" i="2"/>
  <c r="A10" i="4"/>
  <c r="I50" i="4"/>
  <c r="D6" i="2"/>
  <c r="E6" i="2"/>
  <c r="J10" i="4"/>
  <c r="I6" i="2"/>
  <c r="K10" i="4"/>
  <c r="E3" i="4"/>
  <c r="E50" i="4"/>
  <c r="F79" i="2"/>
  <c r="K34" i="4"/>
  <c r="E52" i="4"/>
  <c r="H10" i="4"/>
  <c r="K11" i="4"/>
  <c r="K42" i="4"/>
  <c r="M43" i="6"/>
  <c r="P43" i="6"/>
  <c r="U44" i="6"/>
  <c r="M44" i="6"/>
  <c r="P44" i="6"/>
  <c r="V43" i="6"/>
  <c r="V46" i="6"/>
  <c r="G22" i="2"/>
  <c r="I22" i="2"/>
  <c r="M45" i="6"/>
  <c r="P45" i="6"/>
  <c r="U45" i="6"/>
  <c r="G32" i="2"/>
  <c r="I32" i="2"/>
  <c r="R39" i="6"/>
  <c r="S38" i="6"/>
  <c r="N26" i="6"/>
  <c r="F28" i="6"/>
  <c r="E28" i="6"/>
  <c r="K28" i="6"/>
  <c r="F27" i="6"/>
  <c r="E27" i="6"/>
  <c r="K27" i="6"/>
  <c r="K29" i="6"/>
  <c r="H26" i="11"/>
  <c r="H31" i="11"/>
  <c r="K50" i="4"/>
  <c r="U46" i="6"/>
  <c r="G20" i="2"/>
  <c r="I20" i="2"/>
  <c r="P46" i="6"/>
  <c r="R40" i="6"/>
  <c r="S39" i="6"/>
  <c r="N28" i="6"/>
  <c r="N27" i="6"/>
  <c r="G27" i="2"/>
  <c r="I27" i="2"/>
  <c r="G26" i="12"/>
  <c r="I26" i="12"/>
  <c r="G75" i="12"/>
  <c r="G26" i="2"/>
  <c r="I26" i="2"/>
  <c r="G31" i="2"/>
  <c r="I31" i="2"/>
  <c r="I30" i="2"/>
  <c r="R41" i="6"/>
  <c r="T40" i="6"/>
  <c r="N29" i="6"/>
  <c r="B22" i="7"/>
  <c r="M29" i="6"/>
  <c r="J15" i="11"/>
  <c r="G30" i="11"/>
  <c r="E33" i="7"/>
  <c r="E37" i="7"/>
  <c r="E35" i="7"/>
  <c r="E39" i="7"/>
  <c r="E42" i="7"/>
  <c r="E38" i="7"/>
  <c r="E36" i="7"/>
  <c r="E32" i="7"/>
  <c r="E34" i="7"/>
  <c r="E43" i="7"/>
  <c r="E27" i="7"/>
  <c r="E51" i="7"/>
  <c r="R42" i="6"/>
  <c r="T41" i="6"/>
  <c r="E20" i="7"/>
  <c r="E50" i="7"/>
  <c r="E26" i="7"/>
  <c r="E21" i="7"/>
  <c r="E60" i="7"/>
  <c r="E61" i="7"/>
  <c r="E57" i="7"/>
  <c r="E55" i="7"/>
  <c r="E49" i="7"/>
  <c r="E53" i="7"/>
  <c r="E44" i="7"/>
  <c r="E46" i="7"/>
  <c r="E40" i="7"/>
  <c r="E67" i="7"/>
  <c r="E65" i="7"/>
  <c r="E63" i="7"/>
  <c r="E59" i="7"/>
  <c r="E24" i="7"/>
  <c r="E30" i="7"/>
  <c r="E28" i="7"/>
  <c r="E48" i="7"/>
  <c r="E56" i="7"/>
  <c r="E52" i="7"/>
  <c r="E54" i="7"/>
  <c r="E22" i="7"/>
  <c r="E18" i="7"/>
  <c r="E23" i="7"/>
  <c r="E19" i="7"/>
  <c r="E25" i="7"/>
  <c r="E29" i="7"/>
  <c r="E31" i="7"/>
  <c r="E62" i="7"/>
  <c r="E66" i="7"/>
  <c r="E64" i="7"/>
  <c r="E58" i="7"/>
  <c r="E41" i="7"/>
  <c r="E47" i="7"/>
  <c r="E45" i="7"/>
  <c r="E68" i="7"/>
  <c r="R43" i="6"/>
  <c r="S42" i="6"/>
  <c r="G6" i="5"/>
  <c r="I6" i="5"/>
  <c r="H21" i="11"/>
  <c r="S43" i="6"/>
  <c r="S46" i="6"/>
  <c r="R44" i="6"/>
  <c r="G7" i="5"/>
  <c r="I7" i="5"/>
  <c r="R45" i="6"/>
  <c r="T45" i="6"/>
  <c r="T44" i="6"/>
  <c r="G37" i="2"/>
  <c r="I37" i="2"/>
  <c r="T46" i="6"/>
  <c r="G38" i="2"/>
  <c r="I38" i="2"/>
  <c r="B223" i="3"/>
  <c r="G79" i="2"/>
  <c r="A223" i="3"/>
  <c r="H177" i="7"/>
  <c r="H178" i="7"/>
  <c r="H40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Cécile</author>
  </authors>
  <commentList>
    <comment ref="A22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Cécile:</t>
        </r>
        <r>
          <rPr>
            <sz val="9"/>
            <color indexed="81"/>
            <rFont val="Tahoma"/>
            <family val="2"/>
          </rPr>
          <t xml:space="preserve">
Ne pas écraser. Affichage conditioné</t>
        </r>
      </text>
    </comment>
  </commentList>
</comments>
</file>

<file path=xl/sharedStrings.xml><?xml version="1.0" encoding="utf-8"?>
<sst xmlns="http://schemas.openxmlformats.org/spreadsheetml/2006/main" count="2739" uniqueCount="1945">
  <si>
    <t>Dimension ombriere</t>
  </si>
  <si>
    <t>Définir la quantité de commande</t>
  </si>
  <si>
    <t>Finition A</t>
  </si>
  <si>
    <t>Remise client</t>
  </si>
  <si>
    <t>Désignation</t>
  </si>
  <si>
    <t>Référence</t>
  </si>
  <si>
    <t>* Ceci est une estimation (en cours de validation)</t>
  </si>
  <si>
    <t>PIEDS (lot de 2) 2400 7016</t>
  </si>
  <si>
    <t>FINITION LAT. A +1 LIGNE 7016</t>
  </si>
  <si>
    <t>Selectionner votre format de toiture</t>
  </si>
  <si>
    <t>FINITION LAT. A LIGNE AV+AR 7016</t>
  </si>
  <si>
    <t>Langue</t>
  </si>
  <si>
    <t>Français</t>
  </si>
  <si>
    <t>English</t>
  </si>
  <si>
    <t>Italiano</t>
  </si>
  <si>
    <t>Traduction Doc</t>
  </si>
  <si>
    <t>i.e. : shade 4x2, 2 feet (attached to the facade)</t>
  </si>
  <si>
    <t>The prices do not include the PV modules and the fixings to the ground and the wall</t>
  </si>
  <si>
    <t>i.e. : Shade 4x2, 4 feet</t>
  </si>
  <si>
    <t>Module's power in Watt</t>
  </si>
  <si>
    <t>Shade 1</t>
  </si>
  <si>
    <t>Shade 2</t>
  </si>
  <si>
    <t>Shade 3</t>
  </si>
  <si>
    <t>Shade 4</t>
  </si>
  <si>
    <t>Shade 5</t>
  </si>
  <si>
    <t>Shade 6</t>
  </si>
  <si>
    <t>No</t>
  </si>
  <si>
    <t>Reference</t>
  </si>
  <si>
    <t>Packaging dimension</t>
  </si>
  <si>
    <t>Part's Name</t>
  </si>
  <si>
    <t>FEET (set of 2) 2400 7016</t>
  </si>
  <si>
    <t>DISCOUNT</t>
  </si>
  <si>
    <t>Choisissez votre language 
Chose your language</t>
  </si>
  <si>
    <t>* Estimated price (to be confirmed)</t>
  </si>
  <si>
    <t>Maximum stackable quantity : 7 roof elements</t>
  </si>
  <si>
    <t>OPTION COULEUR</t>
  </si>
  <si>
    <t>yes</t>
  </si>
  <si>
    <t>Yes</t>
  </si>
  <si>
    <t>Couleur</t>
  </si>
  <si>
    <t xml:space="preserve">Couleur </t>
  </si>
  <si>
    <t>Choix autre couleur</t>
  </si>
  <si>
    <t>XXXX = Code Couleur</t>
  </si>
  <si>
    <t>PIEDS (lot de 2) 2400 9010</t>
  </si>
  <si>
    <t>FINITION LAT. A LIGNE AV+AR 9010</t>
  </si>
  <si>
    <t>FINITION LAT. A +1 LIGNE 9010</t>
  </si>
  <si>
    <t>PIEDS (lot de 2) 2400 XXXX</t>
  </si>
  <si>
    <t>FINITION LAT. A LIGNE AV+AR XXXX</t>
  </si>
  <si>
    <t>FINITION LAT. A +1 LIGNE XXXX</t>
  </si>
  <si>
    <t>Option A: side cover 7016 (First &amp; Last row)</t>
  </si>
  <si>
    <t>Option A: side cover  7016 (Intermediate rows)</t>
  </si>
  <si>
    <t>OTHER COLORS</t>
  </si>
  <si>
    <t>Option A: side cover  9010 (First &amp; Last row)</t>
  </si>
  <si>
    <t>Option A: side cover  9010 (Intermediate rows)</t>
  </si>
  <si>
    <t>Option A: side cover  XXXX (First &amp; Last row)</t>
  </si>
  <si>
    <t>Option A: side cover  XXXX (Intermediate rows)</t>
  </si>
  <si>
    <t>XXXX = Color Code</t>
  </si>
  <si>
    <t>UDV</t>
  </si>
  <si>
    <t>Les plaques polycarbonates seront livrées (Quantité respectant nos UDV).</t>
  </si>
  <si>
    <t>POLYCARBONATE OMBRIERE 2 COLONNES</t>
  </si>
  <si>
    <t>POLYCARBONATE OMBRIERE 1,5 COLONNES</t>
  </si>
  <si>
    <t>Poids (Kg)</t>
  </si>
  <si>
    <t>Prix Public unitaire €HT</t>
  </si>
  <si>
    <t>POLYCARBONATE Honeycomb 1,5 panels length</t>
  </si>
  <si>
    <t>Weight (Kg)</t>
  </si>
  <si>
    <t>TOIT 2x2 60c6p 9010 (Module 1635-1676)</t>
  </si>
  <si>
    <t>TOIT 3x3 60c6p 9010 (Module 1635-1676)</t>
  </si>
  <si>
    <t>TOIT 4x2 60c6p 9010 (Module 1635-1676)</t>
  </si>
  <si>
    <t>TOIT 4x3 60c6p 9010 (Module 1635-1676)</t>
  </si>
  <si>
    <t>TOIT 2x2 60c6p XXXX (Module 1635-1676)</t>
  </si>
  <si>
    <t>TOIT 3x3 60c6p XXXX (Module 1635-1676)</t>
  </si>
  <si>
    <t>TOIT 4x2 60c6p XXXX (Module 1635-1676)</t>
  </si>
  <si>
    <t>TOIT 4x3 60c6p XXXX (Module 1635-1676)</t>
  </si>
  <si>
    <t>ROOF 2x2 60 cells 6" 7016 (Panel 1635-1676)</t>
  </si>
  <si>
    <t>ROOF 3X3 60 cells 6" 7016 (Panel 1635-1676)</t>
  </si>
  <si>
    <t>ROOF 4x2 60 cells 6" 7016 (Panel 1635-1676)</t>
  </si>
  <si>
    <t>ROOF 4X3 60 cells 6" 7016 (Panel 1635-1676)</t>
  </si>
  <si>
    <t>ROOF 2x2 60 cells 6" 9010 (Panel 1635-1676)</t>
  </si>
  <si>
    <t>ROOF 3X3 60 cells 6" 9010 (Panel 1635-1676)</t>
  </si>
  <si>
    <t>ROOF 4x2 60 cells 6" 9010 (Panel 1635-1676)</t>
  </si>
  <si>
    <t>ROOF 4X3 60 cells 6" 9010 (Panel 1635-1676)</t>
  </si>
  <si>
    <t>ROOF 2x2 60 cells 6" XXXX (Panel 1635-1676)</t>
  </si>
  <si>
    <t>ROOF 3X3 60 cells 6" XXXX (Panel 1635-1676)</t>
  </si>
  <si>
    <t>ROOF 4x2 60 cells 6" XXXX (Panel 1635-1676)</t>
  </si>
  <si>
    <t>ROOF 4X3 60 cells 6" XXXX (Panel 1635-1676)</t>
  </si>
  <si>
    <t>FEET (set of 2) 2400 XXXX (Panel 1635-1676)</t>
  </si>
  <si>
    <t>Pieds</t>
  </si>
  <si>
    <t>Feet</t>
  </si>
  <si>
    <t>Without module's lateral finishing</t>
  </si>
  <si>
    <t>Avec Sous-face</t>
  </si>
  <si>
    <t>Sans Sous-face</t>
  </si>
  <si>
    <t>TOIT 2x2 60c6p 7016 (Module 1655-1685)</t>
  </si>
  <si>
    <t>TOIT 3x3 60c6p 7016 (Module 1655-1685)</t>
  </si>
  <si>
    <t>TOIT 4x2 60c6p 7016 (Module 1655-1685)</t>
  </si>
  <si>
    <t>TOIT 4x3 60c6p 7016 (Module 1655-1685)</t>
  </si>
  <si>
    <t>ROOF 2x2 60 cells 6" 7016 (Panel 1655-1685)</t>
  </si>
  <si>
    <t>ROOF 3X3 60 cells 6" 7016 (Panel 1655-1685)</t>
  </si>
  <si>
    <t>ROOF 4x2 60 cells 6" 7016 (Panel 1655-1685)</t>
  </si>
  <si>
    <t>ROOF 4X3 60 cells 6" 7016 (Panel 1655-1685)</t>
  </si>
  <si>
    <t>TOIT 2x2 60c6p 9010 (Module 1655-1685)</t>
  </si>
  <si>
    <t>TOIT 3x3 60c6p 9010 (Module 1655-1685)</t>
  </si>
  <si>
    <t>TOIT 4x2 60c6p 9010 (Module 1655-1685)</t>
  </si>
  <si>
    <t>TOIT 4x3 60c6p 9010 (Module 1655-1685)</t>
  </si>
  <si>
    <t>ROOF 2x2 60 cells 6" 9010 (Panel 1655-1685)</t>
  </si>
  <si>
    <t>ROOF 3X3 60 cells 6" 9010 (Panel 1655-1685)</t>
  </si>
  <si>
    <t>ROOF 4x2 60 cells 6" 9010 (Panel 1655-1685)</t>
  </si>
  <si>
    <t>ROOF 4X3 60 cells 6" 9010 (Panel 1655-1685)</t>
  </si>
  <si>
    <t>TOIT 2x2 60c6p XXXX (Module 1655-1685)</t>
  </si>
  <si>
    <t>TOIT 3x3 60c6p XXXX (Module 1655-1685)</t>
  </si>
  <si>
    <t>TOIT 4x2 60c6p XXXX (Module 1655-1685)</t>
  </si>
  <si>
    <t>TOIT 4x3 60c6p XXXX (Module 1655-1685)</t>
  </si>
  <si>
    <t>ROOF 2x2 60 cells 6" XXXX (Panel 1655-1685)</t>
  </si>
  <si>
    <t>ROOF 3X3 60 cells 6" XXXX (Panel 1655-1685)</t>
  </si>
  <si>
    <t>ROOF 4x2 60 cells 6" XXXX (Panel 1655-1685)</t>
  </si>
  <si>
    <t>ROOF 4X3 60 cells 6" XXXX (Panel 1655-1685)</t>
  </si>
  <si>
    <t>Prix unitaire après remise €HT</t>
  </si>
  <si>
    <t>Option ceiling</t>
  </si>
  <si>
    <t>* Attention: For Ceiling option the lateral finishing are mandatory</t>
  </si>
  <si>
    <t>With ceiling</t>
  </si>
  <si>
    <t>Your order summary</t>
  </si>
  <si>
    <t>Without ceiling</t>
  </si>
  <si>
    <t>Ceiling will be delivered (according to our packaging quantities) Extra cost may apply according to location</t>
  </si>
  <si>
    <t>Total Qty</t>
  </si>
  <si>
    <t>Selling Unit</t>
  </si>
  <si>
    <t>Colonne choisie</t>
  </si>
  <si>
    <t>Ex : ombrière 4x2, 2 pieds (appui façade)</t>
  </si>
  <si>
    <t>Les indications tarifaires ci-dessous n'incluent ni les modules, ni les fixations au sol et au mur</t>
  </si>
  <si>
    <t>Ex : ombrière 4x2, 4 pieds</t>
  </si>
  <si>
    <t>Avec finition latérale module</t>
  </si>
  <si>
    <t>Dimensions colis</t>
  </si>
  <si>
    <t>* : Attention : La pose de la sous-face impose obligatoirement la finition latérale module</t>
  </si>
  <si>
    <t>Listing des ombrières en commande :</t>
  </si>
  <si>
    <t>Sans finition latérale module</t>
  </si>
  <si>
    <t>KIT LED TELECOMMANDE 9.6W/M BLANC NEUTRE 2x5M</t>
  </si>
  <si>
    <t>Prix total après remise €HT</t>
  </si>
  <si>
    <t>Kit 2 Feet base for SHADOW SOLAR</t>
  </si>
  <si>
    <t>Kit LED 9.6W/m Neutral White 2*5m with remote control</t>
  </si>
  <si>
    <t>JOINT POUR ASSEMBLAGE OMBRIERES 12m</t>
  </si>
  <si>
    <t>KIT 2 EMBASE PIEDS OMBRIERE</t>
  </si>
  <si>
    <t>Price after discount</t>
  </si>
  <si>
    <t>KIT Assemblage</t>
  </si>
  <si>
    <t>Seal for SHADOW SOLAR lateral assembly - 12m</t>
  </si>
  <si>
    <t xml:space="preserve">Kit lateral assembly </t>
  </si>
  <si>
    <t>Complément</t>
  </si>
  <si>
    <t>Complement</t>
  </si>
  <si>
    <t>KIT VISSERIE OMBRIERE NOIR</t>
  </si>
  <si>
    <t>Kit screws Shadow white</t>
  </si>
  <si>
    <t>Kit screws Shadow Black</t>
  </si>
  <si>
    <t>KIT VISSERIE OMBRIERE BLANC</t>
  </si>
  <si>
    <t>Réalisation d'assemblage</t>
  </si>
  <si>
    <t>4x</t>
  </si>
  <si>
    <t>3x</t>
  </si>
  <si>
    <t>2x</t>
  </si>
  <si>
    <t>Assemblage</t>
  </si>
  <si>
    <t>Voir onglet Assemblage</t>
  </si>
  <si>
    <t>Refer to Assembly Sheet</t>
  </si>
  <si>
    <t>Design of your assembly</t>
  </si>
  <si>
    <t xml:space="preserve">Junction Qty </t>
  </si>
  <si>
    <t>Summary of your project</t>
  </si>
  <si>
    <t>PIEDS (lot de 2) 3500 XXXX</t>
  </si>
  <si>
    <t>PIEDS (lot de 2) 3500 7016</t>
  </si>
  <si>
    <t>FEET (set of 2) 3500 7016</t>
  </si>
  <si>
    <t>Select the length feet</t>
  </si>
  <si>
    <t>PIEDS (lot de 2) 3500 9010</t>
  </si>
  <si>
    <t>FEET (set of 2) 3500 9010</t>
  </si>
  <si>
    <t>FEET (set of 2) 3500 XXXX</t>
  </si>
  <si>
    <t>Nb Liaison x2</t>
  </si>
  <si>
    <t>Nb Liaison x3</t>
  </si>
  <si>
    <t>Ligne 1</t>
  </si>
  <si>
    <t>Ligne 2</t>
  </si>
  <si>
    <t>Total</t>
  </si>
  <si>
    <t>Nbre Shadow/ligne</t>
  </si>
  <si>
    <t>PRT00117</t>
  </si>
  <si>
    <t>CANIVEAU 2x</t>
  </si>
  <si>
    <t>CANIVEAU 3x</t>
  </si>
  <si>
    <t>CANIVEAU 4x</t>
  </si>
  <si>
    <t>PRT00026</t>
  </si>
  <si>
    <t>PRT00016</t>
  </si>
  <si>
    <t>GOULOTTE AVANT x2</t>
  </si>
  <si>
    <t>GOULOTTE AVANT x3</t>
  </si>
  <si>
    <t>GOULOTTE ARRIERE x2</t>
  </si>
  <si>
    <t>GOULOTTE ARRIERE x3</t>
  </si>
  <si>
    <t>SPOILER x2</t>
  </si>
  <si>
    <t>SPOILER x3</t>
  </si>
  <si>
    <t>ASS.SPOILER x2</t>
  </si>
  <si>
    <t>ASS.SPOILER x3</t>
  </si>
  <si>
    <t>U ETANCHEITE INTER RANGEES x2</t>
  </si>
  <si>
    <t>U ETANCHEITE INTER RANGEES x3</t>
  </si>
  <si>
    <t>U ETANCHEITE INTER MODULE</t>
  </si>
  <si>
    <t>CALLE SERRE PANNEAU</t>
  </si>
  <si>
    <t>FERMETURE SPOILER</t>
  </si>
  <si>
    <t>PLAQUE DE JOINT ETANCHEITE</t>
  </si>
  <si>
    <t>PLAQUE EQUERRAGE</t>
  </si>
  <si>
    <t>SORTIE DE CANIVEAU</t>
  </si>
  <si>
    <t>COMPRIBANDE TRS 15/1-3</t>
  </si>
  <si>
    <t>OUTILLAGE DE MONTAGE</t>
  </si>
  <si>
    <t>PRT00105</t>
  </si>
  <si>
    <t>PDC0P00533</t>
  </si>
  <si>
    <t>PRT00106</t>
  </si>
  <si>
    <t>PRT00018</t>
  </si>
  <si>
    <t>PRT00036</t>
  </si>
  <si>
    <t>PRT00108</t>
  </si>
  <si>
    <t>PRT00017</t>
  </si>
  <si>
    <t>PRT00025</t>
  </si>
  <si>
    <t>PRT00195</t>
  </si>
  <si>
    <t>PRT00305</t>
  </si>
  <si>
    <t>ASM0P00427</t>
  </si>
  <si>
    <t>ASM0P00426</t>
  </si>
  <si>
    <t>PRT00029</t>
  </si>
  <si>
    <t>PRT00013</t>
  </si>
  <si>
    <t>PRT00028</t>
  </si>
  <si>
    <t>PRT00015</t>
  </si>
  <si>
    <t>PRT00027</t>
  </si>
  <si>
    <t>PRT00014</t>
  </si>
  <si>
    <t>Ajouter le code couleur à la référence (9010 ou 7016 ou 7016M ou ….)</t>
  </si>
  <si>
    <t>FINITION LAT. A+ 1 LIGNE</t>
  </si>
  <si>
    <t>FINITION LAT. LIGNE AV.+AR.</t>
  </si>
  <si>
    <t>PRT00302</t>
  </si>
  <si>
    <t>PRT00303</t>
  </si>
  <si>
    <t>PRT00297</t>
  </si>
  <si>
    <t>PRT00298</t>
  </si>
  <si>
    <t>PRT00300</t>
  </si>
  <si>
    <t>PRT00295</t>
  </si>
  <si>
    <t>PRT00299</t>
  </si>
  <si>
    <t>PRT00304</t>
  </si>
  <si>
    <t>ASM0P00482</t>
  </si>
  <si>
    <t>ASM0P00480</t>
  </si>
  <si>
    <t>SHAS706</t>
  </si>
  <si>
    <t>SHAS707</t>
  </si>
  <si>
    <t>Si besoin d'une palette suppplémentaire, ajout d'un forfait de 50€ pour l'emballage.</t>
  </si>
  <si>
    <t>Add the color code to the reference (9010 or 7016 or 7016M or …)</t>
  </si>
  <si>
    <t>If an additional pallet is needed, please add 50€ for packaging.</t>
  </si>
  <si>
    <t>Option sous-face</t>
  </si>
  <si>
    <t>Erreur</t>
  </si>
  <si>
    <t>Error</t>
  </si>
  <si>
    <t>Nb liaison latérale</t>
  </si>
  <si>
    <t>Nb d'embase 1er ligne</t>
  </si>
  <si>
    <t>Nb d'embase 2e ligne</t>
  </si>
  <si>
    <t>Version 4 p</t>
  </si>
  <si>
    <t>Nb lateral Junction</t>
  </si>
  <si>
    <t>Nb Junction x2</t>
  </si>
  <si>
    <t>Nb Junction x3</t>
  </si>
  <si>
    <t>Nb feet 1st line</t>
  </si>
  <si>
    <t>Nb feet 2nd line</t>
  </si>
  <si>
    <t>Nb feet base 1st line</t>
  </si>
  <si>
    <t>Nb feet base 2nd line</t>
  </si>
  <si>
    <t>Line 1</t>
  </si>
  <si>
    <t>Line 2</t>
  </si>
  <si>
    <t>4 feet version</t>
  </si>
  <si>
    <t>Nb Shadow/line</t>
  </si>
  <si>
    <t>Pensilina 1</t>
  </si>
  <si>
    <t>Pensilina 2</t>
  </si>
  <si>
    <t>Pensilina 3</t>
  </si>
  <si>
    <t>Pensilina 4</t>
  </si>
  <si>
    <t>Pensilina 5</t>
  </si>
  <si>
    <t>Pensilina 6</t>
  </si>
  <si>
    <t>Quantità da ordinare</t>
  </si>
  <si>
    <t>Potere del modulo in Watt</t>
  </si>
  <si>
    <t>Potenza installata in Watt</t>
  </si>
  <si>
    <t>Essempio Pensilina 4x2, 2 piedi (attaccato alla facciata)</t>
  </si>
  <si>
    <t>I prezzi non includono i moduli fotovoltaici e gli elementi di fissaggio al muro e a terra</t>
  </si>
  <si>
    <t>Essempio Pensilina 4x2, 4 piedi</t>
  </si>
  <si>
    <t>Selezionare la dimensione</t>
  </si>
  <si>
    <t>Selezionare la quantità di piedi</t>
  </si>
  <si>
    <t>Lista dei componenti</t>
  </si>
  <si>
    <t>Dimensione Packaging</t>
  </si>
  <si>
    <t>Peso</t>
  </si>
  <si>
    <t>Nome di componente</t>
  </si>
  <si>
    <t>Prezzo unitario per reference</t>
  </si>
  <si>
    <t>Quantita totale</t>
  </si>
  <si>
    <t>Unità acquistabili</t>
  </si>
  <si>
    <t>Prezzo unitario scontato per reference</t>
  </si>
  <si>
    <t>TETTO 2x2 60 cells 6" 7016 (Module 1635-1676)</t>
  </si>
  <si>
    <t>TETTO 3X3 60 cells 6" 7016 (Module 1635-1676)</t>
  </si>
  <si>
    <t>TETTO 4x2 60 cells 6" 7016 (Module 1635-1676)</t>
  </si>
  <si>
    <t>TETTO 4X3 60 cells 6" 7016 (Module 1635-1676)</t>
  </si>
  <si>
    <t>TETTO 2x2 60 cells 6" 7016 (Module 1655-1685)</t>
  </si>
  <si>
    <t>TETTO 3X3 60 cells 6" 7016 (Module 1655-1685)</t>
  </si>
  <si>
    <t>TETTO 4x2 60 cells 6" 7016 (Module 1655-1685)</t>
  </si>
  <si>
    <t>TETTO 4X3 60 cells 6" 7016 (Module 1655-1685)</t>
  </si>
  <si>
    <t>PIEDI (set di 2) 2400 7016</t>
  </si>
  <si>
    <t>OLTRE COLORE</t>
  </si>
  <si>
    <t>TETTO 2x2 60 cells 6" 9010 (Module 1635-1676)</t>
  </si>
  <si>
    <t>TETTO 3X3 60 cells 6" 9010 (Module 1635-1676)</t>
  </si>
  <si>
    <t>TETTO 4x2 60 cells 6" 9010 (Module 1635-1676)</t>
  </si>
  <si>
    <t>TETTO 4X3 60 cells 6" 9010 (Module 1635-1676)</t>
  </si>
  <si>
    <t>TETTO 2x2 60 cells 6" 9010 (Module 1655-1685)</t>
  </si>
  <si>
    <t>TETTO 3X3 60 cells 6" 9010 (Module 1655-1685)</t>
  </si>
  <si>
    <t>TETTO 4x2 60 cells 6" 9010 (Module 1655-1685)</t>
  </si>
  <si>
    <t>TETTO 4X3 60 cells 6" 9010 (Module 1655-1685)</t>
  </si>
  <si>
    <t>PIEDI (set di 2) 2400 9010</t>
  </si>
  <si>
    <t>Prezzo unitario per kit</t>
  </si>
  <si>
    <t>Prezzo unitario scontato per kit</t>
  </si>
  <si>
    <t>SCONTO</t>
  </si>
  <si>
    <t>Peso (kg)</t>
  </si>
  <si>
    <t>Prezzo dopo sconto</t>
  </si>
  <si>
    <t>Accessori</t>
  </si>
  <si>
    <t xml:space="preserve">Assemblaggio </t>
  </si>
  <si>
    <t>Fare riferimento a "Assemblage" Scheda</t>
  </si>
  <si>
    <t>Quantità massima impilabile: 7 elementi del tetto</t>
  </si>
  <si>
    <t>Soffitto sarà consegnato (secondo le nostre confezioni di) Costi accessori può applicare in base alla posizione</t>
  </si>
  <si>
    <t>Il tuo riepilogo dell'ordine</t>
  </si>
  <si>
    <t>TETTO 2x2 60 cells 6" XXXX (Module 1635-1676)</t>
  </si>
  <si>
    <t>TETTO 3X3 60 cells 6" XXXX (Module 1635-1676)</t>
  </si>
  <si>
    <t>TETTO 4x2 60 cells 6" XXXX (Module 1635-1676)</t>
  </si>
  <si>
    <t>TETTO 4X3 60 cells 6" XXXX (Module 1635-1676)</t>
  </si>
  <si>
    <t>TETTO 2x2 60 cells 6" XXXX (Module 1655-1685)</t>
  </si>
  <si>
    <t>TETTO 3X3 60 cells 6" XXXX (Module 1655-1685)</t>
  </si>
  <si>
    <t>TETTO 4x2 60 cells 6" XXXX (Module 1655-1685)</t>
  </si>
  <si>
    <t>TETTO 4X3 60 cells 6" XXXX (Module 1655-1685)</t>
  </si>
  <si>
    <t>PIEDI (set di 2) 2400 XXXX</t>
  </si>
  <si>
    <t>XXXX = Colore Code</t>
  </si>
  <si>
    <t>colore standard Scelta</t>
  </si>
  <si>
    <t>altro colore Scelta</t>
  </si>
  <si>
    <t>totale ordine</t>
  </si>
  <si>
    <t>Policarbonato alveolare lunghezza 2 pannelli</t>
  </si>
  <si>
    <t>Policarbonato alveolare lunghezza 1,5 pannelli</t>
  </si>
  <si>
    <t>Viti Kit Pensiline bianca</t>
  </si>
  <si>
    <t>Viti Kit Pensiline nera</t>
  </si>
  <si>
    <t>Kit 2 basa piedi per SHADOW SOLAR</t>
  </si>
  <si>
    <t>Kit LED 9.6W / m Neutral White 2 * 5m con telecomando</t>
  </si>
  <si>
    <t>Seal per il montaggio laterale SHADOW SOLARE - 12m</t>
  </si>
  <si>
    <t>Opzione kit 2 basa piedi per SHADOW SOLAR</t>
  </si>
  <si>
    <t>Quantità di kit opzionale di montaggio laterale</t>
  </si>
  <si>
    <t>Kit di monatggio laterale</t>
  </si>
  <si>
    <t>Progettazione di vostra assemblea</t>
  </si>
  <si>
    <t>Junction Quantità</t>
  </si>
  <si>
    <t>Sintesi del progetto</t>
  </si>
  <si>
    <t>PIEDI (set di 2) 3500 7016</t>
  </si>
  <si>
    <t>Selezionare la lunghezza di piedi</t>
  </si>
  <si>
    <t>PIEDI (set di 2) 3500 9010</t>
  </si>
  <si>
    <t>PIEDI (set di 2) 3500 XXXX</t>
  </si>
  <si>
    <t>Aggiungere il codice del colore al riferimento (9010 o 7016 o 7016M o ...)</t>
  </si>
  <si>
    <t>Se è necessaria una ulteriore pallet, si prega di aggiungere 50 € per il confezionamento.</t>
  </si>
  <si>
    <t>Errore</t>
  </si>
  <si>
    <t>Numeri Junction x2</t>
  </si>
  <si>
    <t>Numeri Junction x3</t>
  </si>
  <si>
    <t>Numeri piedi 1st linea</t>
  </si>
  <si>
    <t>Numeri piedi 2nd linea</t>
  </si>
  <si>
    <t>linea 1</t>
  </si>
  <si>
    <t>linea 2</t>
  </si>
  <si>
    <t>Numeri Shadow/linea</t>
  </si>
  <si>
    <t>4 piedi versione</t>
  </si>
  <si>
    <t>Numeri basa piedi 1st linea</t>
  </si>
  <si>
    <t>Numeri basa piedi 2nd linea</t>
  </si>
  <si>
    <t>Numeri di Junction laterale</t>
  </si>
  <si>
    <t>GUTTER 2x</t>
  </si>
  <si>
    <t>GUTTER 3x</t>
  </si>
  <si>
    <t>GUTTER 4x</t>
  </si>
  <si>
    <t>FRONT COVER x2</t>
  </si>
  <si>
    <t>FRONT COVERx3</t>
  </si>
  <si>
    <t>BACK COVER x2</t>
  </si>
  <si>
    <t>BACK COVER x3</t>
  </si>
  <si>
    <t>U Weather Tightness between rows x2</t>
  </si>
  <si>
    <t>U Weather Tightness between rows x3</t>
  </si>
  <si>
    <t>U Weather Tightness between modules</t>
  </si>
  <si>
    <t>MODULE CLAMP</t>
  </si>
  <si>
    <t>SPOILER COVER</t>
  </si>
  <si>
    <t>SEALING BOARD</t>
  </si>
  <si>
    <t>SQUARE BOARD</t>
  </si>
  <si>
    <t>GUTTER EXIT</t>
  </si>
  <si>
    <t>MOUNTING TOOL</t>
  </si>
  <si>
    <t>PRECOMPRESS SEAL TRS 15/1-3</t>
  </si>
  <si>
    <t>SIDE COVER FIRST AND LAST ROW</t>
  </si>
  <si>
    <t>SIDE COVER ADDITIONAL ROW</t>
  </si>
  <si>
    <t>GRONDAIA 2x</t>
  </si>
  <si>
    <t>GRONDAIA 3x</t>
  </si>
  <si>
    <t>GRONDAIA 4x</t>
  </si>
  <si>
    <t>SCIVOLO ANTERIORE x2</t>
  </si>
  <si>
    <t>SCIVOLO ANTERIORE x3</t>
  </si>
  <si>
    <t>SCIVOLO POSTERIORE x2</t>
  </si>
  <si>
    <t>SCIVOLO POSTERIORE x3</t>
  </si>
  <si>
    <t>U DI TENUTA TRA FILA x2</t>
  </si>
  <si>
    <t>U DI TENUTA TRA FILA x3</t>
  </si>
  <si>
    <t>U DI TENUTA TRA MODULI</t>
  </si>
  <si>
    <t>CLAMP MODULE</t>
  </si>
  <si>
    <t>SPOILER COPERTURA</t>
  </si>
  <si>
    <t>PIASTRA DI TENUTA</t>
  </si>
  <si>
    <t>PIASTRA QUADRATA</t>
  </si>
  <si>
    <t xml:space="preserve">USCITA GRONDAIA </t>
  </si>
  <si>
    <t>PRECOMPRESO GUARNIZIONE</t>
  </si>
  <si>
    <t>STRUMENTO DI MONTAGGIO</t>
  </si>
  <si>
    <t>COPERTURA LATERALE - PRIMA E ULTIMA FILA</t>
  </si>
  <si>
    <t>COPERTURA LATERALE - FILA SUPPLEMENTARE</t>
  </si>
  <si>
    <t>LOT DE 4 ECLISSES DE BANDEAU</t>
  </si>
  <si>
    <t>SET OF 4 SPOILERS ASSEMBLY SPLINTS</t>
  </si>
  <si>
    <t>Version 1.2.3</t>
  </si>
  <si>
    <t>Choisissez votre langue</t>
  </si>
  <si>
    <t>Select your language</t>
  </si>
  <si>
    <t>Scegliete la lingua</t>
  </si>
  <si>
    <t xml:space="preserve"> </t>
  </si>
  <si>
    <t>1.1 Si vous utilisez des modules de dimensions comprises entre 1635 et 1676mm, compléter l'onglet "Shadow Solar 1635-1676", si vous utilisez des modules de dimensions comprises entre 1655 et 1685mm, compléter l'onglet "Shadow Solar 1655-1685"</t>
  </si>
  <si>
    <t>1.3 Indiquez votre remise (cellule P69), le prix par champ s'affiche ligne 69 et le total de la commande est dans la cellule R68</t>
  </si>
  <si>
    <t>2.1 Pour un assemblage latéral: noter la configuration sur la même ligne</t>
  </si>
  <si>
    <t>2.0 Si vous souhaitez effectuer un assemblage de 2 ou plusieurs ombrières, vous devez remplir l'onglet "Assemblage Shadow Solar" uniquement.</t>
  </si>
  <si>
    <t>2.2 Pour un assemblage en profondeur: noter la configuration sur la même colonne</t>
  </si>
  <si>
    <t>1.1 If you usePV-modules with dimensions between 1635 and 1676mm, please fullfill the sheet "Shadow Solar 1635-1676", if you use PV-modules with dimensions between 1655 and 1685mm, please fullfill the sheet "Shadow Solar 1655 - 1685".</t>
  </si>
  <si>
    <t>1.2 If necessary, you can add manually additional parts on your order using column M (for ex: +10) or reduce the quantity (ex: -10)</t>
  </si>
  <si>
    <t>1.3 Please indicate your discount (cell P69), the price per field will be shown on line 69 and the total order price on cell R68.</t>
  </si>
  <si>
    <t>2.1 for a side assembly: please write the configurations on the same line side by side.</t>
  </si>
  <si>
    <t>2.2 for a front/rear assembly: please write the configuration on the same column up and down.</t>
  </si>
  <si>
    <t>3.0 Please cross-check the quantity of assembly in the cell L15 of the sheet "Shadow Solar 1635 - 1676" or "Shadow Solar 1655-1685".</t>
  </si>
  <si>
    <t>Instructions :</t>
  </si>
  <si>
    <t>Listino prezzi per la tettoia IRFTS PERGOSOLAR</t>
  </si>
  <si>
    <t>PGST227016M1A</t>
  </si>
  <si>
    <t>PG STRUCTURE 2x2 7016 MAT</t>
  </si>
  <si>
    <t>PGST2290101A</t>
  </si>
  <si>
    <t>PG STRUCTURE 2x2 9010 BRILLANT</t>
  </si>
  <si>
    <t>PG STRUCTURE 2x3 7016 MAT</t>
  </si>
  <si>
    <t>PG STRUCTURE 2x3 9010 BRILLANT</t>
  </si>
  <si>
    <t>PGST337016M1A</t>
  </si>
  <si>
    <t>PG STRUCTURE 3x3 7016 MAT</t>
  </si>
  <si>
    <t>PG STRUCTURE 3x3 9010 BRILLANT</t>
  </si>
  <si>
    <t>PG STRUCTURE 4x2 7016 MAT</t>
  </si>
  <si>
    <t>PG STRUCTURE 4x2 9010 BRILLANT</t>
  </si>
  <si>
    <t>PGST437016M1A</t>
  </si>
  <si>
    <t>PG STRUCTURE 4x3 7016 MAT</t>
  </si>
  <si>
    <t>PGST4390101A</t>
  </si>
  <si>
    <t>PG STRUCTURE 4x3 9010 BRILLANT</t>
  </si>
  <si>
    <t>PGAT2500N155</t>
  </si>
  <si>
    <t>PGBC137016M1A</t>
  </si>
  <si>
    <t>PGFT24L7016M1A</t>
  </si>
  <si>
    <t>PGFT24L90101A</t>
  </si>
  <si>
    <t>PGO1UP7016M1A</t>
  </si>
  <si>
    <t>PGO1UP90101A</t>
  </si>
  <si>
    <t>PGOFS1A</t>
  </si>
  <si>
    <t>PGPV1290101A</t>
  </si>
  <si>
    <t>PGPV137016M1A</t>
  </si>
  <si>
    <t>PG KIT BIO 1x2 7016 MAT</t>
  </si>
  <si>
    <t>PG KIT BIO 1x2 9010 BRILLANT</t>
  </si>
  <si>
    <t>PG KIT BIO 1x3 7016 MAT</t>
  </si>
  <si>
    <t>PG KIT BIO 1x3 9010 BRILLANT</t>
  </si>
  <si>
    <t>PG 2 PIEDS 2400 7016 MAT</t>
  </si>
  <si>
    <t>PG 2 PIEDS 2400 9010 BRILLANT</t>
  </si>
  <si>
    <t>PG OPT ACC. 1 SOUS FACE 7016 MAT</t>
  </si>
  <si>
    <t>PG OPT ACC. 1 SOUS FACE 9010 BRILLANT</t>
  </si>
  <si>
    <t>PG DEPORT 2 PIEDS</t>
  </si>
  <si>
    <t>PG KIT PV 1x2 7016 MAT</t>
  </si>
  <si>
    <t>PG KIT PV 1x2 9010 BRILLANT</t>
  </si>
  <si>
    <t>PG KIT PV 1x3 7016 MAT</t>
  </si>
  <si>
    <t>PG KIT PV 1x3 9010 BRILLANT</t>
  </si>
  <si>
    <t>KIT ACTIONNEUR 2500N 155MM</t>
  </si>
  <si>
    <t>2 pieds de 2400 mm de long, en Ral  7016 Mat</t>
  </si>
  <si>
    <t>2 pieds de 2400 mm de long, en Ral 9010 Brillant</t>
  </si>
  <si>
    <t>kit de fixation de sous face (pour une plaque), en ral 7016 Mat</t>
  </si>
  <si>
    <t>kit de fixation de sous face (pour une plaque), en ral 9010 Brillant</t>
  </si>
  <si>
    <t>PGOSLED01A</t>
  </si>
  <si>
    <t>PGOSLED02A</t>
  </si>
  <si>
    <t>PRT0P00603AA</t>
  </si>
  <si>
    <t>PRT0P00604AA</t>
  </si>
  <si>
    <t>KIT RUBANS LED 20M 3200°K</t>
  </si>
  <si>
    <t>sous face X3 : 980x2530 mm</t>
  </si>
  <si>
    <t>sous face X2 : 980x3390 mm</t>
  </si>
  <si>
    <t>plaque de makrolon 980x2530mm</t>
  </si>
  <si>
    <t>plaque de makrolon 980x3390mm</t>
  </si>
  <si>
    <t>kit 2 embases de pieds 7016 Mat</t>
  </si>
  <si>
    <t>kit 2 embases de pieds 9010</t>
  </si>
  <si>
    <t>TOIT 2x2 7016</t>
  </si>
  <si>
    <t>TOIT 3x3 7016</t>
  </si>
  <si>
    <t>TOIT 4x2 7016</t>
  </si>
  <si>
    <t>TOIT 4x3 7016</t>
  </si>
  <si>
    <t>kit de 5 lames  = "1 lignes" , pour une pergola de 2 modules de large
Lames  : Blanches 9010 brillant
Autres pièces en ral 9010 Brillant</t>
  </si>
  <si>
    <t>kit de 5 lames  = "1 ligne" , pour une pergola de 3 modules de large
Lames  : Blanches 7016 mat
Autres pièces en ral gris 7016 Mat</t>
  </si>
  <si>
    <t>Choix couleur bioclimatique</t>
  </si>
  <si>
    <t>Pergosolar 1</t>
  </si>
  <si>
    <t>Pergosolar 2</t>
  </si>
  <si>
    <t>Pergosolar 3</t>
  </si>
  <si>
    <t>Pergosolar 4</t>
  </si>
  <si>
    <t>Pergosolar 5</t>
  </si>
  <si>
    <t>Pergosolar 6</t>
  </si>
  <si>
    <t>Option Bioclimatique</t>
  </si>
  <si>
    <t>Prix Total €HT</t>
  </si>
  <si>
    <t>IIIb</t>
  </si>
  <si>
    <t>A2</t>
  </si>
  <si>
    <t>Vérification Nbre de ligne</t>
  </si>
  <si>
    <t>Type</t>
  </si>
  <si>
    <t>Nb ligne PV</t>
  </si>
  <si>
    <t>Nb ligne bio</t>
  </si>
  <si>
    <t>Total ligne</t>
  </si>
  <si>
    <t>Bio Yes / No</t>
  </si>
  <si>
    <t>Vérif</t>
  </si>
  <si>
    <t>Sélection</t>
  </si>
  <si>
    <t>Nombre de module (largeur)</t>
  </si>
  <si>
    <t>Numéro solution</t>
  </si>
  <si>
    <t>Ok</t>
  </si>
  <si>
    <t>Recherche "Ok"</t>
  </si>
  <si>
    <t>Numéro</t>
  </si>
  <si>
    <t>Nombre de ligne Bioclimatique</t>
  </si>
  <si>
    <t>Ligne(s) de lame(s) bioclimatique(s)</t>
  </si>
  <si>
    <t>Ligne(s) de Module(s) photovoltaïque(s)</t>
  </si>
  <si>
    <t>Nombre de modules</t>
  </si>
  <si>
    <t>Total colonne</t>
  </si>
  <si>
    <t>Total Modules</t>
  </si>
  <si>
    <t>Synthèse de l'assemblage</t>
  </si>
  <si>
    <t>Quantité option Assemblage latéral ombrière</t>
  </si>
  <si>
    <t xml:space="preserve">3.0 Noter le nombre d'assemblages dans la cellule L15 de l'onglet "Shadow Solar 1635-1676" ou "Shadow Solar 1655-1685" </t>
  </si>
  <si>
    <t>1.2 Si nécessaire, vous pouvez ajouter des pièces supplémentaires sur votre commande (exemple: +10) ou bien en retirer (exemple: -10) en utilisant la colonne M</t>
  </si>
  <si>
    <t>Pour information : Les références de toiture sont gerbables jusqu'à 7 éléments.</t>
  </si>
  <si>
    <t>Nombre de ligne PV</t>
  </si>
  <si>
    <t>Option 2 spots</t>
  </si>
  <si>
    <t>Nombre de Spot de LED</t>
  </si>
  <si>
    <t>Nombre d’option</t>
  </si>
  <si>
    <t>Option bandeau LED</t>
  </si>
  <si>
    <t>Otption Bandeau LED</t>
  </si>
  <si>
    <t>Option  Spot</t>
  </si>
  <si>
    <t>Dessin avec Bandeau LED</t>
  </si>
  <si>
    <t>Dessin avec  Spot</t>
  </si>
  <si>
    <t>Selection dessin avec LED</t>
  </si>
  <si>
    <t>Selection dessin sans LED</t>
  </si>
  <si>
    <t>Avec ou sans bandeau de LED</t>
  </si>
  <si>
    <t>Ligne Spot OK</t>
  </si>
  <si>
    <t>Bande de LED</t>
  </si>
  <si>
    <t>Spot</t>
  </si>
  <si>
    <t>Résultat FAUX</t>
  </si>
  <si>
    <t>Vitesse</t>
  </si>
  <si>
    <t>Catégorie de terrain</t>
  </si>
  <si>
    <t>Angle de toît</t>
  </si>
  <si>
    <t>Calcul Vent</t>
  </si>
  <si>
    <t>Calcul Neige</t>
  </si>
  <si>
    <t>Calcul Eurocode pour la France</t>
  </si>
  <si>
    <t>Charges déjà connues</t>
  </si>
  <si>
    <t>Calcul charges de neige</t>
  </si>
  <si>
    <t>α ( angle du versant )</t>
  </si>
  <si>
    <t>0° &lt;= α &lt;= 30°</t>
  </si>
  <si>
    <t>30° &lt;= α &lt;= 60°</t>
  </si>
  <si>
    <t xml:space="preserve"> α &gt;= 60°</t>
  </si>
  <si>
    <t>vent</t>
  </si>
  <si>
    <t>l (Largeur batîment)</t>
  </si>
  <si>
    <t>m</t>
  </si>
  <si>
    <t>Charges ascendantes</t>
  </si>
  <si>
    <t>Pa</t>
  </si>
  <si>
    <r>
      <rPr>
        <b/>
        <sz val="8"/>
        <color rgb="FF000000"/>
        <rFont val="Arial"/>
        <family val="2"/>
      </rPr>
      <t>S</t>
    </r>
    <r>
      <rPr>
        <sz val="8"/>
        <color rgb="FF000000"/>
        <rFont val="Arial"/>
        <family val="2"/>
      </rPr>
      <t xml:space="preserve"> = μ1 x Ce x Ct x sk pour les situations de projet durables / transitoires </t>
    </r>
    <r>
      <rPr>
        <b/>
        <sz val="8"/>
        <color rgb="FF000000"/>
        <rFont val="Arial"/>
        <family val="2"/>
      </rPr>
      <t>(N/m²)</t>
    </r>
  </si>
  <si>
    <t>µ1</t>
  </si>
  <si>
    <t xml:space="preserve"> 0,80 ( 60 - α ) /30</t>
  </si>
  <si>
    <t>II</t>
  </si>
  <si>
    <t>L (Longueur du batîment)</t>
  </si>
  <si>
    <t>IIIa</t>
  </si>
  <si>
    <t>h (Hauteur du batîment)</t>
  </si>
  <si>
    <t>Charges descendantes</t>
  </si>
  <si>
    <r>
      <rPr>
        <b/>
        <sz val="8"/>
        <color rgb="FF000000"/>
        <rFont val="Arial"/>
        <family val="2"/>
      </rPr>
      <t>S</t>
    </r>
    <r>
      <rPr>
        <sz val="8"/>
        <color rgb="FF000000"/>
        <rFont val="Arial"/>
        <family val="2"/>
      </rPr>
      <t xml:space="preserve"> = μ1 x Ce x Ct x sad pour les situations de projet accidentelles. </t>
    </r>
    <r>
      <rPr>
        <b/>
        <sz val="8"/>
        <color rgb="FF000000"/>
        <rFont val="Arial"/>
        <family val="2"/>
      </rPr>
      <t>(N/m²)</t>
    </r>
  </si>
  <si>
    <t xml:space="preserve"> α (Angle du support module)</t>
  </si>
  <si>
    <t>°</t>
  </si>
  <si>
    <t>IV</t>
  </si>
  <si>
    <t>hp (hauteur acrotère)</t>
  </si>
  <si>
    <t xml:space="preserve">μ1 est le coefficient de forme (dépend du type de toiture, de la pente du versant et de la redistribution de la neige par le vent). </t>
  </si>
  <si>
    <t xml:space="preserve"> r (rayon)</t>
  </si>
  <si>
    <t>De 200 à 500 m</t>
  </si>
  <si>
    <t>De 500 à 1000 m</t>
  </si>
  <si>
    <t>De 1000 à 2000 m</t>
  </si>
  <si>
    <t>Sk</t>
  </si>
  <si>
    <t>Ce est le coefficient d'exposition, qu'on considérera égal à 1.</t>
  </si>
  <si>
    <t>Zone de neige</t>
  </si>
  <si>
    <t>Sk200 &lt; 200 m</t>
  </si>
  <si>
    <t>Sad</t>
  </si>
  <si>
    <t>Sad&lt;200 m</t>
  </si>
  <si>
    <t>▲s1</t>
  </si>
  <si>
    <t>▲s2</t>
  </si>
  <si>
    <t>µ1( α)</t>
  </si>
  <si>
    <t>A1</t>
  </si>
  <si>
    <t>ls</t>
  </si>
  <si>
    <t xml:space="preserve">Ct est le coefficient thermique, qu'on considérera égal à 1. </t>
  </si>
  <si>
    <t>A (Altitude)</t>
  </si>
  <si>
    <t>B1</t>
  </si>
  <si>
    <t>Zone 1 : Vb = 22 m/s - qb = 296 Pa</t>
  </si>
  <si>
    <t>B2</t>
  </si>
  <si>
    <t>Zone 2 : Vb = 24 m/s - qb = 353 Pa</t>
  </si>
  <si>
    <t>C1</t>
  </si>
  <si>
    <t>Zone 3 : Vb = 26 m/s - qb = 414 Pa</t>
  </si>
  <si>
    <t>C2</t>
  </si>
  <si>
    <t>Zone 4 : Vb = 28 m/s - qb = 480 Pa</t>
  </si>
  <si>
    <t>Angle du toit</t>
  </si>
  <si>
    <t>D</t>
  </si>
  <si>
    <t>Altitude</t>
  </si>
  <si>
    <t>E</t>
  </si>
  <si>
    <t>Zone sélectionnée</t>
  </si>
  <si>
    <t>m/s</t>
  </si>
  <si>
    <t>qb ( pression dynamique de référence )</t>
  </si>
  <si>
    <t>Ce(z) (coefficient d'exposition) :</t>
  </si>
  <si>
    <t>qp (pression dynamique de pointe ) = Ce(z) x qb</t>
  </si>
  <si>
    <t>Rives arrondies</t>
  </si>
  <si>
    <t>r/h</t>
  </si>
  <si>
    <t>hp/h</t>
  </si>
  <si>
    <t>Brisis mansardés</t>
  </si>
  <si>
    <t>α (°)</t>
  </si>
  <si>
    <t>Rives à arêtes vives</t>
  </si>
  <si>
    <t>Ce(z)</t>
  </si>
  <si>
    <t>Rugosité</t>
  </si>
  <si>
    <t>Selection  de la catégorie de rugosité</t>
  </si>
  <si>
    <t>Hauteur Z</t>
  </si>
  <si>
    <t>Type de toiture</t>
  </si>
  <si>
    <t>Zone</t>
  </si>
  <si>
    <t>F</t>
  </si>
  <si>
    <t>G</t>
  </si>
  <si>
    <t>H</t>
  </si>
  <si>
    <t>I</t>
  </si>
  <si>
    <t>Cpe.10</t>
  </si>
  <si>
    <t>Cpe.1</t>
  </si>
  <si>
    <t>+0,2</t>
  </si>
  <si>
    <t>-0,2</t>
  </si>
  <si>
    <t>Avec acrotères</t>
  </si>
  <si>
    <t>hp/h=0</t>
  </si>
  <si>
    <t>hp/h=0,025</t>
  </si>
  <si>
    <t>hp/h=0,0375</t>
  </si>
  <si>
    <t>hp/h=0,05</t>
  </si>
  <si>
    <t>hp/h=0,075</t>
  </si>
  <si>
    <t>hp/h=0,1</t>
  </si>
  <si>
    <t>hp/h=0,125</t>
  </si>
  <si>
    <t>r/h=0</t>
  </si>
  <si>
    <t>r/h=0,05</t>
  </si>
  <si>
    <t>r/h=0,075</t>
  </si>
  <si>
    <t>r/h=0,1</t>
  </si>
  <si>
    <t>r/h=0,15</t>
  </si>
  <si>
    <t>r/h=0,2</t>
  </si>
  <si>
    <t>r/h=0,25</t>
  </si>
  <si>
    <t>α=22,5°</t>
  </si>
  <si>
    <t>α=30°</t>
  </si>
  <si>
    <t>α=37,5°</t>
  </si>
  <si>
    <t>α=45°</t>
  </si>
  <si>
    <t>α=52,5°</t>
  </si>
  <si>
    <t>α=60°</t>
  </si>
  <si>
    <t>α=67,5°</t>
  </si>
  <si>
    <r>
      <rPr>
        <sz val="11"/>
        <color theme="1"/>
        <rFont val="Calibri"/>
        <family val="2"/>
        <scheme val="minor"/>
      </rPr>
      <t>Catégorie 0 : 
mer ou zone côtière exposée aux vents de mer.</t>
    </r>
  </si>
  <si>
    <t>Category 0 : 
sea or coastal area exposed to sea winds.</t>
  </si>
  <si>
    <t>Zone 1 : 22 m/s</t>
  </si>
  <si>
    <t>Zone 2 : 24 m/s</t>
  </si>
  <si>
    <t>Zone 3 : 26 m/s</t>
  </si>
  <si>
    <t>Zone 4 : 28 m/s</t>
  </si>
  <si>
    <t>Mayotte : 30 m/s</t>
  </si>
  <si>
    <t>Martinique : 32 m/s</t>
  </si>
  <si>
    <t>Réunion : 34 m/s</t>
  </si>
  <si>
    <t>Guadeloupe : 36 m/s</t>
  </si>
  <si>
    <t>0</t>
  </si>
  <si>
    <t>Couleur de lames : RAL9010</t>
  </si>
  <si>
    <t>option kit Led : 4 spots  + alim + récepteur + télécommande</t>
  </si>
  <si>
    <t>Nombre de Screen latéral</t>
  </si>
  <si>
    <t>Nombre de Screen avant ou arrièrre</t>
  </si>
  <si>
    <t>Lg Sceen latéral</t>
  </si>
  <si>
    <t>Lg Sceen av ou arr</t>
  </si>
  <si>
    <t>Sélection latéral</t>
  </si>
  <si>
    <t>Sélection av arr</t>
  </si>
  <si>
    <t>Screen(s) latéral(aux)</t>
  </si>
  <si>
    <t>Screen(s) avant ou arrière</t>
  </si>
  <si>
    <t>Largeur</t>
  </si>
  <si>
    <t>Profondeur</t>
  </si>
  <si>
    <t>Hauteur</t>
  </si>
  <si>
    <t>Sélection Largeur</t>
  </si>
  <si>
    <t>Sélection Profondeur</t>
  </si>
  <si>
    <t>Sélection Hauteur</t>
  </si>
  <si>
    <t>Screen latéral</t>
  </si>
  <si>
    <t>Screen avant</t>
  </si>
  <si>
    <t>Nb</t>
  </si>
  <si>
    <t>Screen av ou arr</t>
  </si>
  <si>
    <t>Validation format</t>
  </si>
  <si>
    <t>Nbre Screen</t>
  </si>
  <si>
    <t>Numéro de ligne</t>
  </si>
  <si>
    <t>Format</t>
  </si>
  <si>
    <t>Nombre de pieds</t>
  </si>
  <si>
    <t>Nbre</t>
  </si>
  <si>
    <t>Choix couleur Standard RAL</t>
  </si>
  <si>
    <t>Screen Latéraux</t>
  </si>
  <si>
    <t>Nombre</t>
  </si>
  <si>
    <t>Nombre maxi de Screen lateral</t>
  </si>
  <si>
    <t>2 Pieds</t>
  </si>
  <si>
    <t>4 Pieds</t>
  </si>
  <si>
    <t>Sceen av ou arr</t>
  </si>
  <si>
    <t>Nombre maxi de Screen av ou arr</t>
  </si>
  <si>
    <t>kit de 5 lames  = "1 ligne" , pour une pergola de 2 modules de large
Lames  : Blanches 9010 mat
Autres pièces en gris 7016 Mat</t>
  </si>
  <si>
    <t>PGOFM7016M1A</t>
  </si>
  <si>
    <t>PGOFM90101A</t>
  </si>
  <si>
    <t>Kit 2 fixations murales RAL 9010</t>
  </si>
  <si>
    <t>Kit 2 fixations murales RAL 7016 Mat</t>
  </si>
  <si>
    <t>Nbre kit ss face/ligne pergola</t>
  </si>
  <si>
    <t>Assemblage latéral (face aux modules à droite et à gauche )</t>
  </si>
  <si>
    <t>Assemblage en profondeur : nous consulter</t>
  </si>
  <si>
    <t>Actionneur 2500N + alimentation + récepteur+Vérin</t>
  </si>
  <si>
    <t>Définir la puissance du module</t>
  </si>
  <si>
    <t>kit de 5 lames  = "1 ligne" , pour une pergola de 3 modules de large
Lames  : Blanches 9010 brillant
Autres pièces en ral  9010 Brillant</t>
  </si>
  <si>
    <t>kit pour 1 ligne de panneaux photovoltaiques, pour pergola de 3 modules de large
couleur  : ral 7016 Mat</t>
  </si>
  <si>
    <t>Choix du module photovoltaïque</t>
  </si>
  <si>
    <t>Choix de l'onduleur</t>
  </si>
  <si>
    <t>Référence distributeur</t>
  </si>
  <si>
    <t>x</t>
  </si>
  <si>
    <t>Cable lg 500 mm</t>
  </si>
  <si>
    <t>Rajout Câbles de liaisons</t>
  </si>
  <si>
    <t>Nomenclature IRFTS</t>
  </si>
  <si>
    <t>Nomenclature XXX</t>
  </si>
  <si>
    <t>Résistance en pression</t>
  </si>
  <si>
    <t>Résistance en dépression</t>
  </si>
  <si>
    <t>Hauteur bat</t>
  </si>
  <si>
    <t>Charges calculé par Zone</t>
  </si>
  <si>
    <t>Charges sélectionnées</t>
  </si>
  <si>
    <t>Charges descendantes :</t>
  </si>
  <si>
    <t>Charges ascendantes :</t>
  </si>
  <si>
    <t>Format pergola :</t>
  </si>
  <si>
    <t>Nomenclature Distributeur</t>
  </si>
  <si>
    <t>2/ Calcul Eurocodes.</t>
  </si>
  <si>
    <t>Répondre aux questions des cases en jaune</t>
  </si>
  <si>
    <t>Liste de pièces IRFTS en gras</t>
  </si>
  <si>
    <t>Modules *******</t>
  </si>
  <si>
    <t>Onduleur *******</t>
  </si>
  <si>
    <t>kit de fixation de sous face</t>
  </si>
  <si>
    <t>5/Nomenclature Distributeur.</t>
  </si>
  <si>
    <t xml:space="preserve">Charges ascendantes : </t>
  </si>
  <si>
    <t xml:space="preserve">Charges descendantes : </t>
  </si>
  <si>
    <t xml:space="preserve">Altitude (m) : </t>
  </si>
  <si>
    <t xml:space="preserve">Catégorie de terrain : </t>
  </si>
  <si>
    <t xml:space="preserve">Zone de neige : </t>
  </si>
  <si>
    <t xml:space="preserve">Zone de vent : </t>
  </si>
  <si>
    <t xml:space="preserve">Pression de neige (Pa) : </t>
  </si>
  <si>
    <t xml:space="preserve">Pression du vent (Pa) : </t>
  </si>
  <si>
    <t xml:space="preserve">Format Pergola : </t>
  </si>
  <si>
    <t>Attention : ajouter la chute de neige du toit si nécessaire.</t>
  </si>
  <si>
    <t>Charges OK</t>
  </si>
  <si>
    <t>Charges trop importantes</t>
  </si>
  <si>
    <t>kit de déport des pieds + évacuation d'eau  (2 pieds maximum)</t>
  </si>
  <si>
    <t>Nombre par Pergosolar</t>
  </si>
  <si>
    <t>Nombre de Plaque/PV</t>
  </si>
  <si>
    <t>Allemand</t>
  </si>
  <si>
    <t>Modules PV</t>
  </si>
  <si>
    <t>Dimensions Pergosolar*</t>
  </si>
  <si>
    <t>* sans les embases pieds</t>
  </si>
  <si>
    <t>PGOVS2X7016M1A</t>
  </si>
  <si>
    <t>PGOVS2X90101A</t>
  </si>
  <si>
    <t>PGOVS2Y7016M1A</t>
  </si>
  <si>
    <t>PGOVS2Y90101A</t>
  </si>
  <si>
    <t>PGOVS3X7016M1A</t>
  </si>
  <si>
    <t>PGOVS3X90101A</t>
  </si>
  <si>
    <t>PGOVS3Y7016M1A</t>
  </si>
  <si>
    <t>PGOVS3Y90101A</t>
  </si>
  <si>
    <t>PGOVS4Y7016M1A</t>
  </si>
  <si>
    <t>PGOVS4Y90101A</t>
  </si>
  <si>
    <t>PGOVS2YP7016M1A</t>
  </si>
  <si>
    <t>PGOVS2YP90101A</t>
  </si>
  <si>
    <t>PGOVS3YP7016M1A</t>
  </si>
  <si>
    <t>PGOVS3YP90101A</t>
  </si>
  <si>
    <t>PGOVS4YP7016M1A</t>
  </si>
  <si>
    <t>PGOVS4YP90101A</t>
  </si>
  <si>
    <t>PGO2FB7016M1A</t>
  </si>
  <si>
    <t>PGO2FB90101A</t>
  </si>
  <si>
    <t>KIT STRUCTURE 4 ANGLES 7016 MAT</t>
  </si>
  <si>
    <t>KIT STRUCTURE 4 ANGLES 9010 BRILLANT</t>
  </si>
  <si>
    <t>4 NOIX, BOUCHONS, JOINTS et PASSE-CABLES EN NOIR</t>
  </si>
  <si>
    <t>KIT 4 SPOTS LED 3000°K</t>
  </si>
  <si>
    <t>KIT 2 SPOTS LED 3000°K</t>
  </si>
  <si>
    <t>2 lignes</t>
  </si>
  <si>
    <t>3 lignes</t>
  </si>
  <si>
    <t>2x2 2 Pieds</t>
  </si>
  <si>
    <t>2x2 4 Pieds</t>
  </si>
  <si>
    <t>2x3 4 Pieds</t>
  </si>
  <si>
    <t>2x3 2 Pieds</t>
  </si>
  <si>
    <t>3x3 2 Pieds</t>
  </si>
  <si>
    <t>3x3 4 Pieds</t>
  </si>
  <si>
    <t>4x2 4 Pieds</t>
  </si>
  <si>
    <t>4x2 2 Pieds</t>
  </si>
  <si>
    <t>4x3 2 Pieds</t>
  </si>
  <si>
    <t>4x3 4 Pieds</t>
  </si>
  <si>
    <t>5200x340x390</t>
  </si>
  <si>
    <t>3850x170x130
2480x170x130</t>
  </si>
  <si>
    <t>4000x170x130
2480x170x130</t>
  </si>
  <si>
    <t>5100x170x130
2480x170x130</t>
  </si>
  <si>
    <t>5131x170x130
2480x170x130</t>
  </si>
  <si>
    <t>5250x170x130
2480x170x131</t>
  </si>
  <si>
    <t>5250x170x130
2480x170x132</t>
  </si>
  <si>
    <t>3431x170x130
2480x170x130</t>
  </si>
  <si>
    <t>2750x170x130
2480x170x130</t>
  </si>
  <si>
    <t>2600x170x130
2480x170x130</t>
  </si>
  <si>
    <t>Vérifier que les charges sur la Pergola sont correctes</t>
  </si>
  <si>
    <t>*****</t>
  </si>
  <si>
    <t>Mayotte : Vb = 30 m/s - qb = 540 Pa</t>
  </si>
  <si>
    <t>Martinique : Vb = 32 m/s - qb = 608 Pa</t>
  </si>
  <si>
    <t>Réunion : Vb = 34 m/s - qb = 680 Pa</t>
  </si>
  <si>
    <t>Guadeloupe : Vb = 36 m/s - qb = 756 Pa</t>
  </si>
  <si>
    <t>3600x840x370</t>
  </si>
  <si>
    <t>5200x840x370</t>
  </si>
  <si>
    <t>5300x840x370</t>
  </si>
  <si>
    <t>3600x350x400</t>
  </si>
  <si>
    <t>5300x350x400</t>
  </si>
  <si>
    <t>Bienvenue sur notre tableau de commande distributeur - Format PERGOSOLAR</t>
  </si>
  <si>
    <t>Welcome on our Distributor Price list - Format PERGOSOLAR</t>
  </si>
  <si>
    <t>Benvenuto sul nostro Distributore Prezzario - Formato PERGOSOLAR</t>
  </si>
  <si>
    <t>kit structure pour une pergola 2x2
couleur  : 7016 Mat</t>
  </si>
  <si>
    <t>kit structure pour une pergola 2x2
couleur  : 9010 brillant</t>
  </si>
  <si>
    <t>kit structure pour une pergola 2x3
couleur  : 7016 Mat</t>
  </si>
  <si>
    <t>kit structure pour une pergola 2x3
couleur  : 9010 brillant</t>
  </si>
  <si>
    <t>kit structure pour une pergola 3x3
couleur  : 7016 Mat</t>
  </si>
  <si>
    <t>kit structure pour une pergola 3x3
couleur  : 9010 brillant</t>
  </si>
  <si>
    <t>kit structure pour une pergola 4x2
couleur  : 7016 Mat</t>
  </si>
  <si>
    <t>kit structure pour une pergola 4x2
couleur  : 9010 brillant</t>
  </si>
  <si>
    <t>kit structure pour une pergola 4x3
couleur  : 7016 Mat</t>
  </si>
  <si>
    <t>kit structure pour une pergola 4x3
couleur  : 9010 brillant</t>
  </si>
  <si>
    <t>kit pour 1 ligne de panneaux photovoltaiques, pour pergola de 2 modules de large
couleur  : ral 9010 Brillant</t>
  </si>
  <si>
    <t>kit pour 1 ligne de panneaux photovoltaiques, pour pergola de 3 modules de large
couleur  : ral 9010 Brillant</t>
  </si>
  <si>
    <t>kit pour 1 ligne de panneaux photovoltaiques, pour pergola de 2 modules de large
couleur  : ral 7016 Mat</t>
  </si>
  <si>
    <t>option kit Led : 4 spots  + ALIM + récepteur + télécommande</t>
  </si>
  <si>
    <t>option : 2 spots supplémentaires</t>
  </si>
  <si>
    <t>Typenbezeichnung</t>
  </si>
  <si>
    <t>Gewicht (Kg)</t>
  </si>
  <si>
    <t>Gesamtmenge</t>
  </si>
  <si>
    <t>Verkaufseinheit</t>
  </si>
  <si>
    <t>Altitude (mtr)</t>
  </si>
  <si>
    <t>Loads OK</t>
  </si>
  <si>
    <t>Lasten OK</t>
  </si>
  <si>
    <t>400x300x300</t>
  </si>
  <si>
    <t>550x260x85</t>
  </si>
  <si>
    <t>1000x60x30</t>
  </si>
  <si>
    <t>230x28x30</t>
  </si>
  <si>
    <t>460x330x180</t>
  </si>
  <si>
    <t>205x115x105</t>
  </si>
  <si>
    <t>90x90x120</t>
  </si>
  <si>
    <t>Définition tarifaire des Pergolas PERGOSOLAR</t>
  </si>
  <si>
    <t>Qté /Pergola</t>
  </si>
  <si>
    <t>Quantité totale de Screen</t>
  </si>
  <si>
    <t>Compléter la liste de vos pièces</t>
  </si>
  <si>
    <t>Nombre de lignes de panneaux photovoltaiques</t>
  </si>
  <si>
    <t>2 Spots supplémentaires</t>
  </si>
  <si>
    <t>Nb Liaisons</t>
  </si>
  <si>
    <t>Longueur de pied (mm)</t>
  </si>
  <si>
    <t>Nombre total de paires de pieds</t>
  </si>
  <si>
    <t>Nombre de lignes option bioclimatique</t>
  </si>
  <si>
    <t>Nb Pieds 2ème ligne</t>
  </si>
  <si>
    <t>Prix Public par pergola €HT</t>
  </si>
  <si>
    <t>Prix par pergola après remise €HT</t>
  </si>
  <si>
    <t>Total commande €HT</t>
  </si>
  <si>
    <t>Après remise €HT</t>
  </si>
  <si>
    <t>Price list for the Shade IRFTS PERGOSOLAR</t>
  </si>
  <si>
    <t>Quantity to order</t>
  </si>
  <si>
    <t>Select the roof size</t>
  </si>
  <si>
    <t>With module's lateral finishing</t>
  </si>
  <si>
    <t>Quantity of solar modules</t>
  </si>
  <si>
    <t>Dsitributor's reference</t>
  </si>
  <si>
    <t>Product description</t>
  </si>
  <si>
    <t>Quantity Pergosolar</t>
  </si>
  <si>
    <t xml:space="preserve"> VAT excluded Public Unit Price per reference</t>
  </si>
  <si>
    <t xml:space="preserve"> VAT excluded Global price €</t>
  </si>
  <si>
    <t xml:space="preserve"> VAT excluded Unit Price € after discount</t>
  </si>
  <si>
    <t xml:space="preserve"> VAT excluded Public Price € per kit</t>
  </si>
  <si>
    <t xml:space="preserve"> VAT excluded Unit Price per kit after discount</t>
  </si>
  <si>
    <t>Land category</t>
  </si>
  <si>
    <t>Snow zone</t>
  </si>
  <si>
    <t>Wind zone</t>
  </si>
  <si>
    <t>Snow load (Pa) :</t>
  </si>
  <si>
    <t>Wind zone (Pa) :</t>
  </si>
  <si>
    <t>Top-down  load :</t>
  </si>
  <si>
    <t>Uplift load :</t>
  </si>
  <si>
    <t xml:space="preserve">Pergola Size : </t>
  </si>
  <si>
    <t>Vorsicht : add snow load from roof if necessary</t>
  </si>
  <si>
    <t>Too big loads</t>
  </si>
  <si>
    <t>Total Screen quantity</t>
  </si>
  <si>
    <t>FEET (set of 2) 2400 9010</t>
  </si>
  <si>
    <t>Fill-up part list</t>
  </si>
  <si>
    <t>Part list IRFTS (bold)</t>
  </si>
  <si>
    <t>Check if acceptable wind and snow loads on the Pergola</t>
  </si>
  <si>
    <t>Answer the question in the yellow squares</t>
  </si>
  <si>
    <t>Choice standard RAL colour</t>
  </si>
  <si>
    <t>Choice other colour</t>
  </si>
  <si>
    <t xml:space="preserve">POLYCARBONATE Honeycomb 2 feet </t>
  </si>
  <si>
    <t>Type of solar module</t>
  </si>
  <si>
    <t>Type of inverter</t>
  </si>
  <si>
    <t>Option bioclimatic</t>
  </si>
  <si>
    <t>number of bioclimatic rows</t>
  </si>
  <si>
    <t>Colour choice bioclimatic</t>
  </si>
  <si>
    <t>Fixing kit for the underside</t>
  </si>
  <si>
    <t xml:space="preserve">remote </t>
  </si>
  <si>
    <t>2 additional built-in Led spots lights</t>
  </si>
  <si>
    <t>Qty of side screen</t>
  </si>
  <si>
    <t>Qty of front or rear side screen</t>
  </si>
  <si>
    <t>Side screen(s)</t>
  </si>
  <si>
    <t>Front or rear side screen(s)</t>
  </si>
  <si>
    <t xml:space="preserve">Quantity option lateral kit assembly </t>
  </si>
  <si>
    <t>Total feet Qty</t>
  </si>
  <si>
    <t>1/ Fill-in the lignes</t>
  </si>
  <si>
    <t>2/ EUROCODES calculation</t>
  </si>
  <si>
    <t>5/ Distributor's bill of material</t>
  </si>
  <si>
    <t>Preiliste für die IRFTS  PERGOSOLAR Pergola</t>
  </si>
  <si>
    <t xml:space="preserve">Festlegen der Bestellmenge </t>
  </si>
  <si>
    <t>Dachabmessungen auswählen</t>
  </si>
  <si>
    <t>Anzahl der Pergola Pfosten (paarweise)</t>
  </si>
  <si>
    <t>Anzahl der Befestigungswinkel per Pergola (paarweise)</t>
  </si>
  <si>
    <t>Mit seiten Module Schlichten</t>
  </si>
  <si>
    <t>Moduleleistung bestimmen</t>
  </si>
  <si>
    <t xml:space="preserve">Anzahl der Solarmodule </t>
  </si>
  <si>
    <t>IRTFS Teileliste</t>
  </si>
  <si>
    <t>Kunden Teileliste</t>
  </si>
  <si>
    <t>Grosshändler Typenbezeichnung</t>
  </si>
  <si>
    <t>Bezeichnung</t>
  </si>
  <si>
    <t>Paketabmessungen</t>
  </si>
  <si>
    <t>Menge Pergosolar</t>
  </si>
  <si>
    <t>Publikums Stückpreis  € ohne MWStr.</t>
  </si>
  <si>
    <t>Gesamtpreis € ohne MWStr.</t>
  </si>
  <si>
    <t>Einzelpreis € nach Rabatt ohne MWStr.</t>
  </si>
  <si>
    <t>Publikumspreis € per Kit ohne MWStr.</t>
  </si>
  <si>
    <t>Preis € per Kit nach Rabatt ohne MWStr.</t>
  </si>
  <si>
    <t>Kunden Rabatt</t>
  </si>
  <si>
    <t>Option Unterseite</t>
  </si>
  <si>
    <t>Gewicht (kg)</t>
  </si>
  <si>
    <t xml:space="preserve">Ihre Pergola Auftragszusammenfassung </t>
  </si>
  <si>
    <t>Höhe (m)</t>
  </si>
  <si>
    <t>Gelände Kategorie</t>
  </si>
  <si>
    <t>Schnee Zone</t>
  </si>
  <si>
    <t>Wind Zone</t>
  </si>
  <si>
    <t>Schneelast (Pa)</t>
  </si>
  <si>
    <t>Windlast (Pa)</t>
  </si>
  <si>
    <t>Top-down Lasten :</t>
  </si>
  <si>
    <t xml:space="preserve"> Uplift Lasten :</t>
  </si>
  <si>
    <t>Abmessung Pergola</t>
  </si>
  <si>
    <t xml:space="preserve">Vorsicht : wenn nötig,  Schneelast vom Dach hinzufügen </t>
  </si>
  <si>
    <t>Überhöhte Belastungen</t>
  </si>
  <si>
    <t xml:space="preserve">gesamt Aussenblendeanzahl </t>
  </si>
  <si>
    <t>Pfosten (paarweise) 2400 9010</t>
  </si>
  <si>
    <t>Option A :  vordere seitliche Linie (erste+letzte Reihen) 9010</t>
  </si>
  <si>
    <t>Option A : seitliche Linie  9010 (Reihen zwischenlage) 9010</t>
  </si>
  <si>
    <t>Pfosten</t>
  </si>
  <si>
    <t xml:space="preserve">Ohne Solar Module Schlichten Seiten </t>
  </si>
  <si>
    <t>Mit Unterseite</t>
  </si>
  <si>
    <t>Ohne Unterseite</t>
  </si>
  <si>
    <t>Teilliste ausfüllen</t>
  </si>
  <si>
    <t>Stückliste IRFTS (fettgedruckt)</t>
  </si>
  <si>
    <t>maximale Schnee u. Windlast Anfoderungen überprüfen</t>
  </si>
  <si>
    <t xml:space="preserve">beantworten Sie die Fragen in den gelben Kasten </t>
  </si>
  <si>
    <t>XXXX = Farbcode</t>
  </si>
  <si>
    <t>Auswahl Standard RAL Farbe</t>
  </si>
  <si>
    <t>Auswahl anderer Farbe</t>
  </si>
  <si>
    <t>Gesamtauftrag</t>
  </si>
  <si>
    <t>Polycarbonat Unterseite 2 Spalten</t>
  </si>
  <si>
    <t>Polycarbonat Unterseite 1,5 Spalten</t>
  </si>
  <si>
    <t>Schrauben Kit - weisse Pergola</t>
  </si>
  <si>
    <t>Kit 2 Ständer für Pergola</t>
  </si>
  <si>
    <t xml:space="preserve"> Solarmodulenauswahl</t>
  </si>
  <si>
    <t xml:space="preserve"> Wechselrichterauswahl</t>
  </si>
  <si>
    <t>Option Bioklimatik</t>
  </si>
  <si>
    <t>Anzahl von bioklimatischen Lamellen</t>
  </si>
  <si>
    <t>Auswahl Farbe Bioklimatik</t>
  </si>
  <si>
    <t>Unterseite Einsatzkit</t>
  </si>
  <si>
    <t>Zeilenanzahl von Solarmodulen</t>
  </si>
  <si>
    <t>Fernsteuerung</t>
  </si>
  <si>
    <t>2 Extra eingebauter Led-Strahler</t>
  </si>
  <si>
    <t>Anzahl der seitlichen Aussenblenden</t>
  </si>
  <si>
    <t>Anzahl der vorderer oder hinterer Aussenblende</t>
  </si>
  <si>
    <t>Seitliche(n)  Aussenblende(n)</t>
  </si>
  <si>
    <t>Vordere oder hintere Aussenblende</t>
  </si>
  <si>
    <t xml:space="preserve">Menge Option seitlicher Pergola Anbindung </t>
  </si>
  <si>
    <t>Gesamtpreis nach Rabatt € Ohne MWStr.</t>
  </si>
  <si>
    <t>Seitliches Aussenblende Montage-Set</t>
  </si>
  <si>
    <t>Gesamt Füsseanzahl</t>
  </si>
  <si>
    <t>2/ EUROCODES Berechnung</t>
  </si>
  <si>
    <t>5/ Händler Produktnomenklatur</t>
  </si>
  <si>
    <t xml:space="preserve">Kategorie 0 : windzugewandte Meer oder Küstengebiet </t>
  </si>
  <si>
    <t>Parts list</t>
  </si>
  <si>
    <t>Distributor's Parts list</t>
  </si>
  <si>
    <t>In-depth assembly : upon request</t>
  </si>
  <si>
    <t>Modular feet kit + water drainage kit (for min. 2 feet)</t>
  </si>
  <si>
    <t>Number of solar module rows</t>
  </si>
  <si>
    <t>Extra set of cables</t>
  </si>
  <si>
    <t>PG STRUCTURE 2x2 9010 GLOSSY</t>
  </si>
  <si>
    <t>PG STRUCTURE 2x3 9010 GLOSSY</t>
  </si>
  <si>
    <t>PG STRUCTURE 3x3 9010 GLOSSY</t>
  </si>
  <si>
    <t>PG STRUCTURE 4x2 9010 GLOSSY</t>
  </si>
  <si>
    <t>PG STRUCTURE 4x3 9010 GLOSSY</t>
  </si>
  <si>
    <t>ACTUATOR SET 2500N 155MM</t>
  </si>
  <si>
    <t>PG BIO SET 1x2 7016 MAT</t>
  </si>
  <si>
    <t>PG BIO SET 1x2 9010 GLOSSY</t>
  </si>
  <si>
    <t>PG BIO SET 1x3 7016 MAT</t>
  </si>
  <si>
    <t>PG BIO SET 1x3 9010 GLOSSY</t>
  </si>
  <si>
    <t>PG 2 FEET 2400 9010 GLOSSY</t>
  </si>
  <si>
    <t>PG OPT 1 UNDERL PLATE ACC. 7016 MAT</t>
  </si>
  <si>
    <t>PG OPT 1 UNDERL PLATE ACC. 9010 GLOSSY</t>
  </si>
  <si>
    <t>PG 2 FEET SHIFT</t>
  </si>
  <si>
    <t>PG PV SET 1x2 7016 MAT</t>
  </si>
  <si>
    <t>PG PV SET 1x2 9010 GLOSSY</t>
  </si>
  <si>
    <t>PG PV SET 1x3 7016 MAT</t>
  </si>
  <si>
    <t>PG PV SET 1x3 9010 GLOSSY</t>
  </si>
  <si>
    <t>SET LED STRIP 20M 3200°K</t>
  </si>
  <si>
    <t>SET 4 LED SPOTS 3000°K + E/R</t>
  </si>
  <si>
    <t>SET 2 LED SPOTS 3000°K</t>
  </si>
  <si>
    <t>PG SET 2 WALL FIXATIONS 7016 MAT</t>
  </si>
  <si>
    <t>VERTICAL SCREEN l2543 7016MAT 201</t>
  </si>
  <si>
    <t>VERTICAL SCREEN l2543 9010GLO 201</t>
  </si>
  <si>
    <t>VERTICAL SCREEN l2693 7016MAT 201</t>
  </si>
  <si>
    <t>VERTICAL SCREEN l2693 9010GLO 201</t>
  </si>
  <si>
    <t>VERTICAL SCREEN l3374 7016MAT 201</t>
  </si>
  <si>
    <t>VERTICAL SCREEN l3374 9010GLO 201</t>
  </si>
  <si>
    <t>VERTICAL SCREEN l3793 7016MAT 201</t>
  </si>
  <si>
    <t>VERTICAL SCREEN l3793 9010GLO 201</t>
  </si>
  <si>
    <t>VERTICAL SCREEN l3943 7016MAT 201</t>
  </si>
  <si>
    <t>VERTICAL SCREEN l3943 9010GLO 201</t>
  </si>
  <si>
    <t>VERTICAL SCREEN l5043 7016MAT 201</t>
  </si>
  <si>
    <t>VERTICAL SCREEN l5043 9010GLO 201</t>
  </si>
  <si>
    <t>VERTICAL SCREEN l5074 7016MAT 201</t>
  </si>
  <si>
    <t>VERTICAL SCREEN l5074 9010GLO 201</t>
  </si>
  <si>
    <t>VERTICAL SCREEN l5193 7016MAT 201</t>
  </si>
  <si>
    <t>VERTICAL SCREEN l5193 9010GLO 201</t>
  </si>
  <si>
    <t>SET STRUCTURE 4 ANGLES 7016 MAT</t>
  </si>
  <si>
    <t>SET STRUCTURE 4 ANGLES 9010 GLOSSY</t>
  </si>
  <si>
    <t xml:space="preserve">After discount </t>
  </si>
  <si>
    <t>VAT excluded Total Order</t>
  </si>
  <si>
    <t>Kit distributeur</t>
  </si>
  <si>
    <t>Distributor's PV kit</t>
  </si>
  <si>
    <t>FRAIS DE LIVRAISON (FRANCE UNIQUEMENT)</t>
  </si>
  <si>
    <t>DELIVERY COST (France ONLY)</t>
  </si>
  <si>
    <t>LIVR_01</t>
  </si>
  <si>
    <t>LIVR_02</t>
  </si>
  <si>
    <t>Puissance par pergola</t>
  </si>
  <si>
    <t>Power per pergola in Watt</t>
  </si>
  <si>
    <t>Gesamt Solaranlageleistung in Wp (1 pergola)</t>
  </si>
  <si>
    <t>Nombre paire d'équerres /pergo</t>
  </si>
  <si>
    <t>Nombre pieds assemblage</t>
  </si>
  <si>
    <t>3x2 2 Pieds</t>
  </si>
  <si>
    <t>3x2 4 Pieds</t>
  </si>
  <si>
    <t>PGST3290101A</t>
  </si>
  <si>
    <t>PG STRUCTURE 3x2 7016 MAT</t>
  </si>
  <si>
    <t xml:space="preserve">PG STRUCTURE 3x2 9010 </t>
  </si>
  <si>
    <t>PG STRUCTURE 3x2 9010 GLOSSY</t>
  </si>
  <si>
    <t>4200x840x370</t>
  </si>
  <si>
    <t>kit structure pour une pergola 3x2
couleur  : 7016 Mat</t>
  </si>
  <si>
    <t>kit structure pour une pergola 3x2
couleur  : 9010 brillant</t>
  </si>
  <si>
    <t>4 NOIX, BOUCHONS, JOINTS et PASSE-CABLES EN BLANC</t>
  </si>
  <si>
    <t>PERGOSOLAR</t>
  </si>
  <si>
    <t>2x2</t>
  </si>
  <si>
    <t>2x3</t>
  </si>
  <si>
    <t>3x2</t>
  </si>
  <si>
    <t>4x2</t>
  </si>
  <si>
    <t>3x3</t>
  </si>
  <si>
    <t>4x3</t>
  </si>
  <si>
    <t>3676 x 2845</t>
  </si>
  <si>
    <t>5376 x 2845</t>
  </si>
  <si>
    <t>3676 x 4095</t>
  </si>
  <si>
    <t>3676 x 5345</t>
  </si>
  <si>
    <t>5376 x 4095</t>
  </si>
  <si>
    <t>5376 x 5345</t>
  </si>
  <si>
    <t>FRAIS DE LIVRAISON France petite Pergola (format 2X2)</t>
  </si>
  <si>
    <t>FRAIS DE LIVRAISON France grande Pergosolar (formats autres que 2x2)</t>
  </si>
  <si>
    <t>Surface au sol (m²)</t>
  </si>
  <si>
    <t>Surface (m²)</t>
  </si>
  <si>
    <t>Puissance crête* (kWc)</t>
  </si>
  <si>
    <t>Peak Power (kWp)</t>
  </si>
  <si>
    <t>*Puissance du module PV à renseigner dans l'onglet Définition</t>
  </si>
  <si>
    <t>*Based on 300 Wp PV modules</t>
  </si>
  <si>
    <t>L x l x Hauteur 2672mm (Hauteur de pied 2400mm)</t>
  </si>
  <si>
    <t>L x l x Height 2672mm (Foot height 2400mm)</t>
  </si>
  <si>
    <t>PRIX STRUCTURE SEULE</t>
  </si>
  <si>
    <t>PRICE OF THE PERGOLA STRUCTURE</t>
  </si>
  <si>
    <t>Version 2 PIEDS</t>
  </si>
  <si>
    <t>2 feet</t>
  </si>
  <si>
    <t>Version 4 PIEDS</t>
  </si>
  <si>
    <t>4 feet</t>
  </si>
  <si>
    <t>PRIX EQUIPEMENT 100% PHOTOVOLTAÏQUE</t>
  </si>
  <si>
    <t>(Modules, micro-onduleurs, câbles, coffret de protection)</t>
  </si>
  <si>
    <t>Prix Public recommandé</t>
  </si>
  <si>
    <t>Recommended retail price</t>
  </si>
  <si>
    <t>OPTIONS</t>
  </si>
  <si>
    <t>BIOCLIMATIQUE</t>
  </si>
  <si>
    <t>BIOCLIMATIC</t>
  </si>
  <si>
    <t xml:space="preserve"> (1 rangée de 5 lames + actionneur)</t>
  </si>
  <si>
    <t>(1 row of 5 blades + motor)</t>
  </si>
  <si>
    <t>PERIPHERAL STRIP LED</t>
  </si>
  <si>
    <t>SPOTS LED ENCASTRABLES</t>
  </si>
  <si>
    <t>BUILD-IN WHITE LED SPOTLIGHT</t>
  </si>
  <si>
    <t>SCREEN PERIPHERIQUE</t>
  </si>
  <si>
    <t>CEILING</t>
  </si>
  <si>
    <t xml:space="preserve">à partir de </t>
  </si>
  <si>
    <t>from</t>
  </si>
  <si>
    <t>Base de Tarif Prix Publics hors remise</t>
  </si>
  <si>
    <t>Retail prices without discount</t>
  </si>
  <si>
    <t>Tarifs valables au</t>
  </si>
  <si>
    <t>Ce document est purement informatif et ne peut être tenu pour une base contractuelle</t>
  </si>
  <si>
    <t>This document is not contractual. Data and prices may vary.</t>
  </si>
  <si>
    <t>Pour plus de précision, merci de remplir l'onglet "Définition Pergosolar"</t>
  </si>
  <si>
    <t xml:space="preserve">Pour tout renseignement, contactez notre service commercial : </t>
  </si>
  <si>
    <t>For any complementary information, please contact our sales department:</t>
  </si>
  <si>
    <t xml:space="preserve">commercial.france@irfts.com </t>
  </si>
  <si>
    <t>export@irfts.com</t>
  </si>
  <si>
    <t>IMPLANTATION ET ORIENTATION DES FORMATS</t>
  </si>
  <si>
    <t>FORMATS</t>
  </si>
  <si>
    <t>modules PV</t>
  </si>
  <si>
    <t>PV modules</t>
  </si>
  <si>
    <t>Matériel photovoltaïque</t>
  </si>
  <si>
    <t>Référence : module PV de 300 Wc</t>
  </si>
  <si>
    <t>Based on 300 Wp PV modules</t>
  </si>
  <si>
    <t>Version 100% PV</t>
  </si>
  <si>
    <t>100% PV version</t>
  </si>
  <si>
    <t>NOT AVAILABLE</t>
  </si>
  <si>
    <t>For more detailed prices, please fill "Definition Pergosolar" sheet in.</t>
  </si>
  <si>
    <t>TARIF LIVRAISON (France continentale uniquement)</t>
  </si>
  <si>
    <t>Vue rapide - Définition tarifaire PERGOSOLAR IRFTS - Prix Publics HT</t>
  </si>
  <si>
    <t>Rapid view - IRFTS PERGOSOLAR prices - Net VAT Retail Prices</t>
  </si>
  <si>
    <r>
      <t xml:space="preserve">Kit Led en ruban + </t>
    </r>
    <r>
      <rPr>
        <sz val="11"/>
        <color theme="1"/>
        <rFont val="Calibri"/>
        <family val="2"/>
      </rPr>
      <t>ALIM+recepteur + telecommande inclus</t>
    </r>
  </si>
  <si>
    <t>LED ribbon + power supply + remote control included</t>
  </si>
  <si>
    <t>Led Leuchtband + Strom + Empfänger + Fernsteuerung</t>
  </si>
  <si>
    <t>LED</t>
  </si>
  <si>
    <t>Option DAISY Wifi - pilotage par Smartphone</t>
  </si>
  <si>
    <t>DAISY Wifi - pilotage par Smartphone</t>
  </si>
  <si>
    <t>DAISY Wifi - Smartphone control</t>
  </si>
  <si>
    <t>TVDAY868A01</t>
  </si>
  <si>
    <t>206x55x90</t>
  </si>
  <si>
    <t>included</t>
  </si>
  <si>
    <t>PILOTAGE PAR SMARTPHONE</t>
  </si>
  <si>
    <t>inclus</t>
  </si>
  <si>
    <t>i.e: Pergola 4x2, 2 Pfosten (an der Fassade befestigt)</t>
  </si>
  <si>
    <t>Die Preise beinhalten die PV-Module, die Verankerungsfüsse und die Winkelanker nicht</t>
  </si>
  <si>
    <t>i.e: Pergola 4x2, 2 Pfosten</t>
  </si>
  <si>
    <t>Pergola 1</t>
  </si>
  <si>
    <t>Pergola 2</t>
  </si>
  <si>
    <t>Pergola 3</t>
  </si>
  <si>
    <t>Pergola 4</t>
  </si>
  <si>
    <t>Pergola 5</t>
  </si>
  <si>
    <t>Pergola 6</t>
  </si>
  <si>
    <t>DACH 2x2 60 cells 6" 7016 (Panel 1635-1676)</t>
  </si>
  <si>
    <t>DACH 3X3 60 cells 6" 7016 (Panel 1635-1676)</t>
  </si>
  <si>
    <t>DACH 4x2 60 cells 6" 7016 (Panel 1635-1676)</t>
  </si>
  <si>
    <t>DACH 4X3 60 cells 6" 7016 (Panel 1635-1676)</t>
  </si>
  <si>
    <t>DACH 2x2 60 cells 6" 7016 (Panel 1655-1685)</t>
  </si>
  <si>
    <t>DACH 3X3 60 cells 6" 7016 (Panel 1655-1685)</t>
  </si>
  <si>
    <t>DACH 4x2 60 cells 6" 7016 (Panel 1655-1685)</t>
  </si>
  <si>
    <t>DACH 4X3 60 cells 6" 7016 (Panel 1655-1685)</t>
  </si>
  <si>
    <t>PFOSTEN (Set von 2) 2400 7016</t>
  </si>
  <si>
    <t>Option A: seitliche Abdeckung 7016 (erste &amp; letzte Reihe)</t>
  </si>
  <si>
    <t>Option A: seitliche Abdeckung 7016 (mittlere Reihen)</t>
  </si>
  <si>
    <t>ANDERE FARBEN</t>
  </si>
  <si>
    <t>* Geschätzter Preis (noch zu bestätigen)</t>
  </si>
  <si>
    <t>Maximale stapelbare Menge : 7 Dächstruktur Elemente</t>
  </si>
  <si>
    <t>Vorsicht : bei der Option Unterdecke  sind die seitlichen Abdeckungen notwendig</t>
  </si>
  <si>
    <t>Polycarbonat Unterdecken werden gemäss unserer Verpackungseinheitspolitik verkauft</t>
  </si>
  <si>
    <t>DACH 2x2 60 cells 6" 9010 (Panel 1635-1676)</t>
  </si>
  <si>
    <t>DACH 3X3 60 cells 6" 9010 (Panel 1635-1676)</t>
  </si>
  <si>
    <t>DACH 4x2 60 cells 6" 9010 (Panel 1635-1676)</t>
  </si>
  <si>
    <t>DACH 4X3 60 cells 6" 9010 (Panel 1635-1676)</t>
  </si>
  <si>
    <t>DACH 2x2 60 cells 6" 9010 (Panel 1655-1685)</t>
  </si>
  <si>
    <t>DACH 3X3 60 cells 6" 9010 (Panel 1655-1685)</t>
  </si>
  <si>
    <t>DACH 4x2 60 cells 6" 9010 (Panel 1655-1685)</t>
  </si>
  <si>
    <t>DACH 4X3 60 cells 6" 9010 (Panel 1655-1685)</t>
  </si>
  <si>
    <t>DACH 2x2 60 cells 6" XXXX (Panel 1635-1676)</t>
  </si>
  <si>
    <t>DACH 3X3 60 cells 6" XXXX (Panel 1635-1676)</t>
  </si>
  <si>
    <t>DACH 4x2 60 cells 6" XXXX (Panel 1635-1676)</t>
  </si>
  <si>
    <t>DACH 4X3 60 cells 6" XXXX (Panel 1635-1676)</t>
  </si>
  <si>
    <t>DACH 2x2 60 cells 6" XXXX (Panel 1655-1685)</t>
  </si>
  <si>
    <t>DACH 3X3 60 cells 6" XXXX (Panel 1655-1685)</t>
  </si>
  <si>
    <t>DACH 4x2 60 cells 6" XXXX (Panel 1655-1685)</t>
  </si>
  <si>
    <t>DACH 4X3 60 cells 6" XXXX (Panel 1655-1685)</t>
  </si>
  <si>
    <t>Pfosten (Set von 2) 2400 XXXX (Panel 1635-1676)</t>
  </si>
  <si>
    <t>Option A: seitliche Abdeckung  XXXX (erste &amp; letzte Reihe)</t>
  </si>
  <si>
    <t>Option A: seitliche Abdeckung  XXXX mittlere Reihen )</t>
  </si>
  <si>
    <t xml:space="preserve">Kir LED 9.6 W Neutral weiss 2*5m mit Fernsteuerung </t>
  </si>
  <si>
    <t>Dichtung für SHADOW SOLAR seitliche Montage</t>
  </si>
  <si>
    <t>Set von 4 Spoiler Montage Schienen</t>
  </si>
  <si>
    <t>Ergänzung</t>
  </si>
  <si>
    <t>Siehe Montageanleitung</t>
  </si>
  <si>
    <t>Design Ihrer Baugruppe</t>
  </si>
  <si>
    <t>Anschlussmenge Anzahl</t>
  </si>
  <si>
    <t>Zusammenfassung Ihres Projekts</t>
  </si>
  <si>
    <t>PFOSTEN (Set von 2) 3500 7016</t>
  </si>
  <si>
    <t>Zusätzlicher Kabelsatz</t>
  </si>
  <si>
    <t>Pfostenlänge wählen</t>
  </si>
  <si>
    <t>PFOSTEN (Set von 2) 3500 9010</t>
  </si>
  <si>
    <t>PFOSTEN (Set von 2) 3500 XXXX</t>
  </si>
  <si>
    <t>Hinzufügen des Farbcodes zur Referenz (9010 oder 7016 oder 7016M, usw.)</t>
  </si>
  <si>
    <t>Wenn eine zusätzliche Palette benötigt wird, addieren Sie bitte 50€ für die Verpackung.</t>
  </si>
  <si>
    <t>Fehler</t>
  </si>
  <si>
    <t>Anzahl der seitlichen Verbindungen</t>
  </si>
  <si>
    <t>Anzahl der seitlichen Verbindungen x 2</t>
  </si>
  <si>
    <t>Anzahl der seitlichen Verbindungen x 3</t>
  </si>
  <si>
    <t>Anzahl Pfosten 1ste Reihe</t>
  </si>
  <si>
    <t>Anzahl Pfosten 2te Reihe</t>
  </si>
  <si>
    <t>Reihe 1</t>
  </si>
  <si>
    <t>Reihe 2</t>
  </si>
  <si>
    <t>Geasmt</t>
  </si>
  <si>
    <t>4Pfosten Version</t>
  </si>
  <si>
    <t>Anzahl Shadow/Reihe</t>
  </si>
  <si>
    <t>Abwasserung 2x</t>
  </si>
  <si>
    <t>Abwasserung 3x</t>
  </si>
  <si>
    <t>Abwasserung 4x</t>
  </si>
  <si>
    <t>FRONT COVER x3</t>
  </si>
  <si>
    <t>Verbindung SPOILER x2</t>
  </si>
  <si>
    <t>Verbindung SPOILER x3</t>
  </si>
  <si>
    <t>U Witterungsbeständigkeit zwischen den Reihen x2</t>
  </si>
  <si>
    <t>U Witterungsbeständigkeit zwischen den Reihen x3</t>
  </si>
  <si>
    <t>U Witterungsbeständigkeit zwischen Modulen</t>
  </si>
  <si>
    <t>MDULKLEMME</t>
  </si>
  <si>
    <t>SPOILER-ABDECKUNG</t>
  </si>
  <si>
    <t>ABDICHTUNGSPLATTE</t>
  </si>
  <si>
    <t>QUADRATISCHES BRETT</t>
  </si>
  <si>
    <t>RINNENAUSGANG</t>
  </si>
  <si>
    <t>VORPRESSDICHTUNG TRS 15/1-3</t>
  </si>
  <si>
    <t>MONTAGE WERKZEUG</t>
  </si>
  <si>
    <t>SEITENDECKEL ERSTE UND LETZTE REIHE</t>
  </si>
  <si>
    <t>SEITENDECKEL ZUSÄTLICHE REIHE</t>
  </si>
  <si>
    <t>FRONTSEITIGE RINNE x2</t>
  </si>
  <si>
    <t>FRONTSEITIGE RINNE x3</t>
  </si>
  <si>
    <t>HINTERE RINNE x2</t>
  </si>
  <si>
    <t>HINTERE RINNE x3</t>
  </si>
  <si>
    <t>SPOILER VERBIND. x2</t>
  </si>
  <si>
    <t>SPOILER VERBIND. X3</t>
  </si>
  <si>
    <t>U Witterungsbeständigkeit zw. Reihen x2</t>
  </si>
  <si>
    <t>U Witterungsbeständigkeit zw. Reihen x3</t>
  </si>
  <si>
    <t>1/ Zeilen ausfüllen</t>
  </si>
  <si>
    <t>1.1 Wenn Sie PV-Module mit Abmessungen zwischen 1635 und 1676mm verwenden, füllen Sie bitte das Blatt "Shadow Solar 1635-1676" aus, wenn Sie PV-Module mit Abmessungen zwischen 1655 und 1685mm verwenden, füllen Sie bitte das Blatt "Shadow Solar 1655 - 1685" aus.</t>
  </si>
  <si>
    <t>1.2 Bei Bedarf können Sie über die Spalte M (z.B. +10) manuell zusätzliche Teile zu Ihrer Bestellung hinzufügen oder die Menge reduzieren (z.B. -10).</t>
  </si>
  <si>
    <t>1.3 Bitte geben Sie Ihren Rabatt an (Zelle P69), der Preis pro Feld wird in Zeile 69 und der gesamte Bestellpreis in Zelle R68 angezeigt.</t>
  </si>
  <si>
    <r>
      <t xml:space="preserve">2.0 If you wish to design an assembly of Shadow Solar, you should </t>
    </r>
    <r>
      <rPr>
        <u/>
        <sz val="11"/>
        <color theme="1"/>
        <rFont val="Calibri"/>
        <family val="2"/>
        <scheme val="minor"/>
      </rPr>
      <t xml:space="preserve">only </t>
    </r>
    <r>
      <rPr>
        <sz val="11"/>
        <color theme="1"/>
        <rFont val="Calibri"/>
        <family val="2"/>
        <scheme val="minor"/>
      </rPr>
      <t>fullfill the sheet "Assemblage Shadow Solar".</t>
    </r>
  </si>
  <si>
    <t>2.0 Wenn Sie eine Baugruppe aus Pergolas planen, sollten Sie nur das Blatt "Assemblage Schattensonnen" ausfüllen.</t>
  </si>
  <si>
    <t>2.1 für eine Seitenmontage: Bitte schreiben Sie die Konfigurationen auf der gleichen Linie nebeneinander.</t>
  </si>
  <si>
    <t>2.2 für eine Front-/Rückseitenmontage: Bitte schreiben Sie die Konfiguration in die gleiche Spalte auf und ab.</t>
  </si>
  <si>
    <t>3.0 Bitte überprüfen Sie die Menge der Montage in der Zelle L15 auf dem Blatt "Schattensolar 1635 - 1676" oder "Schattensolar 1655-1685".</t>
  </si>
  <si>
    <t xml:space="preserve">Nach Rabatt </t>
  </si>
  <si>
    <t>Montage in Tiefenrichtung : wenden Sie sich bitte an unsere Verkaufsabteilung</t>
  </si>
  <si>
    <t>NOTA : Supply of  Makrolon panels by  60 pcs sales unit.</t>
  </si>
  <si>
    <t>NOTA : Makrolon-Platten per 60 Stücke-Verkaufseinheit geliefert</t>
  </si>
  <si>
    <t>PG STRUKTUR 2x2 7016 GRAU MATT</t>
  </si>
  <si>
    <t>PG STRUKTUR 2x2 9010 GLANZWEISS</t>
  </si>
  <si>
    <t>PG STRUKTUR 2x3 7016 GRAU MATT</t>
  </si>
  <si>
    <t>PG STRUKTUR 2x3 9010 GLANZWEISS</t>
  </si>
  <si>
    <t>PG STRUKTUR 3x3 7016 GRAU MATT</t>
  </si>
  <si>
    <t>PG STRUKTUR 3x3 9010 GLANZWEISS</t>
  </si>
  <si>
    <t>PG STRUKTUR 4x2 7016 GRAU MATT</t>
  </si>
  <si>
    <t>PG STRUKTUR 4x2 9010 GLANZWEISS</t>
  </si>
  <si>
    <t>PG STRUKTUR 4x3 7016 GRAU MATT</t>
  </si>
  <si>
    <t>PG STRUKTUR 4x3 9010 GLANZWEISS</t>
  </si>
  <si>
    <t>AKTUATORSATZ  2500N 155MM</t>
  </si>
  <si>
    <t>PG BIOKLIM SET  1x2 7016 GRAU MATT</t>
  </si>
  <si>
    <t>PG BIOKLIM SET  1x2 9010 GLANZWEISS</t>
  </si>
  <si>
    <t>PG BIOKLIM SET  1x3 7016 GRAU MATT</t>
  </si>
  <si>
    <t>PG BIOKLIM SET C 1x3 9010 GLANZWEISS</t>
  </si>
  <si>
    <t>PG 2 FEET 2400 7016 MAT</t>
  </si>
  <si>
    <t>PG 2 FUß 2400 7016 GRAU MATT</t>
  </si>
  <si>
    <t>PG 2 FUß 2400 9010 GLANZWEISS</t>
  </si>
  <si>
    <t>PG OPT ZUBEHÖR FÜR 1 UNTERSEITE 7016 GRAU MATT</t>
  </si>
  <si>
    <t>PG OPT ZUBEHÖR  FÜR 1 UNTERSEITE 9010 GLANZWEISS</t>
  </si>
  <si>
    <t>PG-OPT 2 FÜR SEITLICH VERSETZTBAREN PFOSTEN</t>
  </si>
  <si>
    <t>PG  PV SET 1x2 7016 GRAU MATT</t>
  </si>
  <si>
    <t>PG  PV SET  1x2 9010  GLANZWEISS</t>
  </si>
  <si>
    <t>PG  PV SET 1x3 7016 GRAU MATT</t>
  </si>
  <si>
    <t>PG PV SET 1x3 9010  GLANZWEISS</t>
  </si>
  <si>
    <t>SET LED LICHTBAND 20M 3200°K</t>
  </si>
  <si>
    <t>SET VON  4 LED-STRAHLER 3000°K</t>
  </si>
  <si>
    <t>SET VON  2 LED-STRAHLER 3000°K</t>
  </si>
  <si>
    <t>PG UNDERLAYING PLATE X3 : 980x2530 mm</t>
  </si>
  <si>
    <t>PG Unterseite X3: 980x2530 mm</t>
  </si>
  <si>
    <t>SHA UNDERLAYING PLATE X2 : 980x3390 mm</t>
  </si>
  <si>
    <t>PG Unterseite X2: 980x3390 mm</t>
  </si>
  <si>
    <t>Bausätze 2 Verankerungswinkel RAL7016 MATT GRAU</t>
  </si>
  <si>
    <t>PG SET 2 WALL FIXATIONS 9010 WHITE</t>
  </si>
  <si>
    <t xml:space="preserve">Bausätze 2 Verankerungswinkel RAL9010 WEISS </t>
  </si>
  <si>
    <t>SET 2 FEET BASE 7016 GREY MAT</t>
  </si>
  <si>
    <t>Set von 2 Verankerungsplatten 7016 MATT GRAU</t>
  </si>
  <si>
    <t>Set von 2 Verankerungsplatten 9010 WEISS</t>
  </si>
  <si>
    <r>
      <t>AU</t>
    </r>
    <r>
      <rPr>
        <sz val="11"/>
        <color theme="1"/>
        <rFont val="Calibri"/>
        <family val="2"/>
      </rPr>
      <t>βENBLENDE</t>
    </r>
    <r>
      <rPr>
        <sz val="11"/>
        <color theme="1"/>
        <rFont val="Calibri"/>
        <family val="2"/>
        <scheme val="minor"/>
      </rPr>
      <t xml:space="preserve"> L. 2543 7016 MATT GRAU 201</t>
    </r>
  </si>
  <si>
    <t>AUβENBLENDE L. 2543 9010 GLANZWEISS 201</t>
  </si>
  <si>
    <t>AUβENBLENDE L.2693 7016 MATT GRAU 201</t>
  </si>
  <si>
    <t>AUβENBLENDE L. 2693 9010 GLANZWEISS 201</t>
  </si>
  <si>
    <t>AUβENBLENDE L. 3374 7016 MATT GRAU 201</t>
  </si>
  <si>
    <t>AUβENBLENDE L. 3374 9010 GLANZWEISS 201</t>
  </si>
  <si>
    <t>AUβENBLENDE L. 3793 7016 MATT GRAU 201</t>
  </si>
  <si>
    <t>VAUβENBLENDE l3793 9010 GLANZWEISS 201</t>
  </si>
  <si>
    <t>AUβENBLENDE L. 3943 7016 MATT GRAU 201</t>
  </si>
  <si>
    <t>AUβENBLENDE L. 3943 9010 GLANZWEISS 201</t>
  </si>
  <si>
    <t>AUβENBLENDE l5043 7016 MATT GRAU 201</t>
  </si>
  <si>
    <t>AUβENBLENDE L. 5043 9010 GLANZWEISS 201</t>
  </si>
  <si>
    <t>AUβENBLENDE L. 5074 7016 MATT GRAU 201</t>
  </si>
  <si>
    <t>AUβENBLENDE L. 5074 9010 GLANZWEISS 201</t>
  </si>
  <si>
    <t>AUβENBLENDE L. 5193 7016 MATT GRAU 201</t>
  </si>
  <si>
    <t>AUβENBLENDE L.5193 9010 GLANZWEISS 201</t>
  </si>
  <si>
    <t>SET VON 4 VERBINDUNGSECKEN 7016 MATT GRAU</t>
  </si>
  <si>
    <t>SET VON 4 VERBINDUNGSECKEN RAL 9010 GLANZWEISS</t>
  </si>
  <si>
    <t>structure kit for one 2x2 pergola
color: 7016 Mat</t>
  </si>
  <si>
    <t>Strukturbausatz für eine 2x2 Pergola
7016 MATT GRAU</t>
  </si>
  <si>
    <t>structure kit for one 2x2 pergola_x000D_
color: 9010 glossy</t>
  </si>
  <si>
    <t>Strukturbausatz für eine 2x2 Pergola
9010 GLANZWEISS</t>
  </si>
  <si>
    <t>structure kit for one 2x3 pergola_x000D_
color: 7016 Mat</t>
  </si>
  <si>
    <t>Strukturbausatz für eine 2x3 Pergola
7016 MATT GRAU</t>
  </si>
  <si>
    <t>structure kit for one 2x3 pergola_x000D_
color: 9010 glossy</t>
  </si>
  <si>
    <t>Strukturbausatz für eine 2x3 Pergola
9010 GLANZWEISS</t>
  </si>
  <si>
    <t>structure kit for one 3x3 pergola_x000D_
color: 7016 Mat</t>
  </si>
  <si>
    <t>Strukturbausatz für eine 3x3-Pergola
7016 MATT GRAU</t>
  </si>
  <si>
    <t>structure kit for one 3x3 pergola_x000D_
color: 9010 glossy</t>
  </si>
  <si>
    <t>Strukturbausatz für eine 3x3-Pergola
9010 GLANZWEISS</t>
  </si>
  <si>
    <t>structure kit for one 4x2 pergola_x000D_
color: 7016 Mat</t>
  </si>
  <si>
    <t>Strukturbausatz für eine 4x2-Pergola
7016 MATT GRAU</t>
  </si>
  <si>
    <t>structure kit for one 4x2 pergola_x000D_
color: 9010 glossy</t>
  </si>
  <si>
    <t>structure kit for a 4x2 pergola
9010 GLANZWEISS</t>
  </si>
  <si>
    <t>structure kit for one 4x3 pergola_x000D_
color: 7016 Mat</t>
  </si>
  <si>
    <t>Strukturbausatz für eine 4x3-Pergola
7016 MATT GRAU</t>
  </si>
  <si>
    <t>structure kit for one 4x3 pergola_x000D_
color: 9010 glossy</t>
  </si>
  <si>
    <t>Strukturbausatz für eine 4x3-Pergola
9010 GLANZWEISS</t>
  </si>
  <si>
    <t>Actuator 2500N + power supply + receiver + cylinder</t>
  </si>
  <si>
    <t>Elektrischer Antrieb 2500N + elektrischer Antrieb + Empfänger + Elektroantrieb</t>
  </si>
  <si>
    <t xml:space="preserve"> 5-blade-kit = "1 row" , for one pergola of 2 modules wide
Blades: White 9010 mat
Other parts in grey 7016 Mat</t>
  </si>
  <si>
    <t>Set von 5 Lamellen = "1 Reihe" , für eine Pergola mit 2 Modulen Breite
Lamellen: Weiß 9010 mat
Andere Teile 7016 MATT GRAU</t>
  </si>
  <si>
    <t>5-blade-kit = "1 row" , for one pergola of 2 modules wide
Blades: White 9010 glossy
Other parts in ral 9010 Glossy</t>
  </si>
  <si>
    <t>Set von 5 Lamellen = "1 Reihe" , für eine Pergola mit 2 Modulen Breite
Lamellen: 9010 GLANZWEISS
Andere Teile RAL 9010 GLANZWEISS</t>
  </si>
  <si>
    <t>5-blade-kit = "1 row" , for one pergola of 3 modules wide
Blades: White 9010 mat
Other parts in ral grey 7016 Mat</t>
  </si>
  <si>
    <t>Set von 5 Lamellen = "1 Reihe" , für eine Pergola mit 3 Modulen Breite
Lamellen: Weiß 9010 matt
Andere Teile 7016 MATT GRAU</t>
  </si>
  <si>
    <t>5-blade-kits = "1 row" , for one pergola of 3 modules wide
Blades: White 9010 glossy
Other parts in ral 9010 Glossy</t>
  </si>
  <si>
    <t>Set von 5 Lamellen = "1 Reihe" , für eine Pergola mit 3 Modulen Breite
Lamellen: 9010 GLANZWEISS
Andere Teile RAL 9010 GLANZWEISS</t>
  </si>
  <si>
    <t>2 feet 2400 mm long, Ral 7016 Mast</t>
  </si>
  <si>
    <t>2 PFOSTEN H. 2400 mm RAL 7016 MATT GRAU</t>
  </si>
  <si>
    <t>2 feet, 2400 mm long, Ral 9010 shiny</t>
  </si>
  <si>
    <t>2 PFOSTEN H. 2400 mm RAL 9010 GLANZWEISS</t>
  </si>
  <si>
    <t>fixing kit for underside (for one plate), RAL 7016 Matt</t>
  </si>
  <si>
    <t>Dachunterdecke Befestigungsset (für eine Platte), RAL 7016  MATT GRAU</t>
  </si>
  <si>
    <t>fixing kit for underside (for one plate),  RAL 9010 glossy</t>
  </si>
  <si>
    <t>Dachunterdecke Befestigungsset (für eine Platte), RAL 9010 GLANZWEISS</t>
  </si>
  <si>
    <t xml:space="preserve">foot Shift kit + water drain kit </t>
  </si>
  <si>
    <t xml:space="preserve"> kit for 1 line of photovoltaic panels, for pergola of 2 modules wide
color: ral 7016 Mat</t>
  </si>
  <si>
    <t>Set für eine Reihe PV Module, für eine Pergola mit 2 Modulen Saülen - RAL 7016 Grau Matt</t>
  </si>
  <si>
    <t>kit for 1 row of PV modules for pergola with 2 colmuns of PV modules 
 RAL 9010 glossy</t>
  </si>
  <si>
    <t>Set für eine Reihe PV Module, für eine Pergola mit 2 Modulen Saülen - RAL 7016 Glanzweiss</t>
  </si>
  <si>
    <t>kit for 1 line of photovoltaic panels, for pergola of 3 modules wide
color : ral 7016 Mat</t>
  </si>
  <si>
    <t>Set für eine Reihe PV Module, für eine Pergola mit 3 Modulen Saülen - RAL 7016 Grau Matt</t>
  </si>
  <si>
    <t>kit for 1 line of photovoltaic panels, for pergola of 3 modules wide
colour: ral 9010 Glossy</t>
  </si>
  <si>
    <t>Set für eine Reihe PV Module, für eine Pergola mit 3 Modulen Saülen - RAL 7016 Glanzweiss</t>
  </si>
  <si>
    <t>Led kit option : 4 spots + POWER SUPPLY + receiver + remote control</t>
  </si>
  <si>
    <t>Option Set 4 x LED Strahler + elektrische Stromversorgung + Empfänger + Fernbedienung</t>
  </si>
  <si>
    <t>option: 2 additional spotlights</t>
  </si>
  <si>
    <t xml:space="preserve">Option Zusatz : 2 x LED Strahler </t>
  </si>
  <si>
    <t>makrolon plate 980x2530mm</t>
  </si>
  <si>
    <t>Machrolon Platte 980x 2530 mm</t>
  </si>
  <si>
    <t>makrolon plate 980x3390mm</t>
  </si>
  <si>
    <t>Machrolon Platte 980x 3390 mm</t>
  </si>
  <si>
    <t>Set of 2 wall brackets RAL 7016 Mat</t>
  </si>
  <si>
    <t>Set von 2 Befestigungswinkel RAL 7016 GRAU MATT</t>
  </si>
  <si>
    <t>Set of 2 wall brackets RAL 9010</t>
  </si>
  <si>
    <t>Set von 2 Befestigungswinkel RAL 9010 WEISS</t>
  </si>
  <si>
    <t>kit 2 feet bases 7016 Mat</t>
  </si>
  <si>
    <t>Set von 2 Verankerungsplatten RAL 7016 GRAU MATT</t>
  </si>
  <si>
    <t>kit 2 feet base 9010</t>
  </si>
  <si>
    <t>Set von 2 Verankerungsplatten RAL RAL 9010 WEISS</t>
  </si>
  <si>
    <r>
      <t>AU</t>
    </r>
    <r>
      <rPr>
        <sz val="11"/>
        <color theme="1"/>
        <rFont val="Calibri"/>
        <family val="2"/>
      </rPr>
      <t>βENBLENDE</t>
    </r>
    <r>
      <rPr>
        <sz val="11"/>
        <color theme="1"/>
        <rFont val="Calibri"/>
        <family val="2"/>
        <scheme val="minor"/>
      </rPr>
      <t xml:space="preserve"> L. 2543 7016 MATGRAU 201</t>
    </r>
  </si>
  <si>
    <t>AUβENBLENDE L. 2693 7016 MATGRAU 201</t>
  </si>
  <si>
    <t>AUβENBLENDE L. 3374 7016MAT 201</t>
  </si>
  <si>
    <t>AUβENBLENDE L. 3793 7016 MATGRAU 201</t>
  </si>
  <si>
    <t>VAUβENBLENDE L. 3793 9010 GLANZWEISS 201</t>
  </si>
  <si>
    <t>AUβENBLENDE L 3943 7016 MATT GRAU 201</t>
  </si>
  <si>
    <t>AUβENBLENDE L. 5043 7016 MATT GRAU 201</t>
  </si>
  <si>
    <t>AUβENBLENDE L. 5193 9010 GLANZWEISS 201</t>
  </si>
  <si>
    <t>4 NUTS, PLUGS, SEALS and BLACK CABLE DUCT</t>
  </si>
  <si>
    <t>4 BEFESTIGUNGSKÖPFE, MUTTERN, DICHTUNGEN  u. SCHWARZE KABELKANÄLE</t>
  </si>
  <si>
    <t>4 NUTS, PLUGS, SEALS and WHITE CABLE DUCT</t>
  </si>
  <si>
    <t>5 BEFESTIGUNGSKÖPFE, MUTTERN, DICHTUNGEN u. WEISSE KABELKANÄLE</t>
  </si>
  <si>
    <t xml:space="preserve"> Vertriebspartner PV-SOLAR Kit</t>
  </si>
  <si>
    <t>VERSANDKOSTEN (innerhalb Frankreichs)</t>
  </si>
  <si>
    <t>PG STRUKTUR 3x2  7016 GRAU MATT</t>
  </si>
  <si>
    <t>PG STRUKTUR 3x2  9010 GLANZWEISS</t>
  </si>
  <si>
    <t>structure kit for a pergola 3x2
RAL 7016 Mat</t>
  </si>
  <si>
    <t>Struktur-Kit für eine Pergola 3x2
Farbe : 7016 Grau Matt</t>
  </si>
  <si>
    <t>structure kit for a pergola 3x2
RAL 9010 Glossy white</t>
  </si>
  <si>
    <t>Struktur-Kit für eine Pergola 3x2
Farbe: 9010 Glanzweiss</t>
  </si>
  <si>
    <t>DELIVERY CHARGES France large Pergosolar (formats other than 2x2)</t>
  </si>
  <si>
    <t>FRACHTKOSTEN innerhalb Frankreichs - große Pergosolar (grösser als 2x2)</t>
  </si>
  <si>
    <t>DELIVERY CHARGES France small Pergola (2X2 format)</t>
  </si>
  <si>
    <t>FRACHTKOSTEN  innerhalb Frankreichs - kleine Pergola (2X2 Format)</t>
  </si>
  <si>
    <t>Bodenfläche (m²)</t>
  </si>
  <si>
    <t>Höchste Leistung (kWp)</t>
  </si>
  <si>
    <t>*Basierend auf 300 Wp PV-Modulen</t>
  </si>
  <si>
    <t>L. x B. x Höhe 2672mm (Pfostenhöhe 2400mm)</t>
  </si>
  <si>
    <t>PREIS VON DER PERGOLA-STRUKTUR</t>
  </si>
  <si>
    <t>2 Pfosten</t>
  </si>
  <si>
    <t>4 Pfosten</t>
  </si>
  <si>
    <t>PRICE 100% PHOTOVOLTAIC EQUIPMENT</t>
  </si>
  <si>
    <t>PREIS FÜR EINE 100% PHOTOVOLTAÏSCHE AUSRÜSTUNG</t>
  </si>
  <si>
    <t>(Modules, micro inverters, cables, protection box)</t>
  </si>
  <si>
    <t>(Module, Mikro-Wechselrichter, Kabel, elektrischer Schutzkasten)</t>
  </si>
  <si>
    <t>Empfohlener Verkaufspreis Ohne MWSTr.</t>
  </si>
  <si>
    <t>OPTIONEN</t>
  </si>
  <si>
    <t>BIOKLIMATISCH</t>
  </si>
  <si>
    <t>(1 Reihe von 5 Lamellen + Motor)</t>
  </si>
  <si>
    <t xml:space="preserve">LED-LICHTBAND </t>
  </si>
  <si>
    <t>EINGEBAUTER LED-STRAHLER</t>
  </si>
  <si>
    <t>SIDE SCREEN</t>
  </si>
  <si>
    <t>SEITENBLENDE</t>
  </si>
  <si>
    <t>DACHUNTERDECKE</t>
  </si>
  <si>
    <t>von</t>
  </si>
  <si>
    <t>NICHT VERFÜGBAR</t>
  </si>
  <si>
    <t>Brutto Buchpreise</t>
  </si>
  <si>
    <t>Rates valid at</t>
  </si>
  <si>
    <t>Preise gültig am</t>
  </si>
  <si>
    <t>Unverbindliche Unterlage. Daten und Preisänderungen vorbehlaten</t>
  </si>
  <si>
    <t>Für detailliertere Preise füllen Sie das Formular "Definition Pergosolar" bitte aus.</t>
  </si>
  <si>
    <t>Für weitere Informationen wenden Sie sich bitte an unsere Verkaufsabteilung.</t>
  </si>
  <si>
    <t xml:space="preserve">export@irfts.com </t>
  </si>
  <si>
    <t>ABMESSUNGEN</t>
  </si>
  <si>
    <t>PV-Module</t>
  </si>
  <si>
    <t>Schnellansicht - IRFTS PERGOSOLAR Preise - Brutto-Verkaufspreise ausser MWSTr.</t>
  </si>
  <si>
    <t>Photovoltaic equipment</t>
  </si>
  <si>
    <t>PV-Solar Ausrüstung</t>
  </si>
  <si>
    <t>Basierend auf 300 Wp PV-Modulen</t>
  </si>
  <si>
    <t>100% PV-Version</t>
  </si>
  <si>
    <t>Option DAISY Wifi - control via Smartphone</t>
  </si>
  <si>
    <t>Option DAISY Wifi -Steuerung ber Smartphone</t>
  </si>
  <si>
    <t>DAISY Wifi -Steuerung über Smartphone</t>
  </si>
  <si>
    <t>inklusiv</t>
  </si>
  <si>
    <t xml:space="preserve"> REMOTE CONTROL VIA SMARTPHONE</t>
  </si>
  <si>
    <t>FERNSTEUERUNG ÜBER SMARTPHONE</t>
  </si>
  <si>
    <t xml:space="preserve">TWINNING SET </t>
  </si>
  <si>
    <t>PGOCC17016M1A</t>
  </si>
  <si>
    <t>PGOCC27016M1A</t>
  </si>
  <si>
    <t>PGOCF17016M1A</t>
  </si>
  <si>
    <t>PGORS267016M1A</t>
  </si>
  <si>
    <t>CLAUSTRA COULISSANT LAMES OR. 1M 7016M</t>
  </si>
  <si>
    <t>ADJ. SHUTTER ADJ. LOUVERS 1M 7016M</t>
  </si>
  <si>
    <t>CLAUSTRA COULISSANT LAMES OR. 2M 7016M</t>
  </si>
  <si>
    <t>ADJ. SHUTTER ADJ. LOUVERS 2M 7016M</t>
  </si>
  <si>
    <t>CLAUSTRA FIXE LAMES OR. 1M 7016M</t>
  </si>
  <si>
    <t>FIXED SHUTTER ADJ. LOUVERS 1M 7016M</t>
  </si>
  <si>
    <t>CLAUSTRA FIXE LAMES OR. 2M 7016M</t>
  </si>
  <si>
    <t>FIXED SHUTTER ADJ. LOUVERS 2M 7016M</t>
  </si>
  <si>
    <t>SET RAILS 2600 SUP INF ACC 7016M</t>
  </si>
  <si>
    <t>Quantité totale de Claustra</t>
  </si>
  <si>
    <t>Total shutter quantity</t>
  </si>
  <si>
    <t>Option Claustra Fixe</t>
  </si>
  <si>
    <t>Option Fixed shutter</t>
  </si>
  <si>
    <t>Option Claustra Coulissant</t>
  </si>
  <si>
    <t>Option Adjustable shutter</t>
  </si>
  <si>
    <t>Longueur du claustra</t>
  </si>
  <si>
    <t>Shutter length</t>
  </si>
  <si>
    <t>Qty of shutters</t>
  </si>
  <si>
    <t>Nombre de claustras</t>
  </si>
  <si>
    <t>1m</t>
  </si>
  <si>
    <t>2m</t>
  </si>
  <si>
    <t>CLAUSTRA FIXE</t>
  </si>
  <si>
    <t>FIXED SHUTTER</t>
  </si>
  <si>
    <t>CLAUSTRA COULISSANT</t>
  </si>
  <si>
    <t>ADJ. SHUTTER</t>
  </si>
  <si>
    <t xml:space="preserve">KIT JUMELAGE </t>
  </si>
  <si>
    <t>BELGIQUE / LUXEMBOURG</t>
  </si>
  <si>
    <t>BELGIUM/ LUXEMBOURG</t>
  </si>
  <si>
    <t>BELGIEN / LUXEMBURG</t>
  </si>
  <si>
    <t>FRANCE CONTINENTALE</t>
  </si>
  <si>
    <t>MAINLAND France</t>
  </si>
  <si>
    <t>FESTLAND FRANKREICH</t>
  </si>
  <si>
    <t>(disponible uniquement en France continentale, Belgique et Luxembourg)</t>
  </si>
  <si>
    <t>Lieu de livraison :</t>
  </si>
  <si>
    <t>Place of delivery:</t>
  </si>
  <si>
    <t>Lieferung Ort:</t>
  </si>
  <si>
    <t>(lediglich innerhalb Festland Frankreichs, Belgien und Luxemburg)</t>
  </si>
  <si>
    <t>On-site delivery</t>
  </si>
  <si>
    <t>(Mainland France, Belgium and Luxembourg ONLY - NOT AVAILABLE for other countries)</t>
  </si>
  <si>
    <t>Frei Haus Lieferung</t>
  </si>
  <si>
    <t xml:space="preserve">Livraison sur chantier </t>
  </si>
  <si>
    <t>LIVR_10</t>
  </si>
  <si>
    <t>Forfait Belgique/Luxembourg</t>
  </si>
  <si>
    <t xml:space="preserve">ADD DELIVERY CHARGES Belgium / Luxembourg </t>
  </si>
  <si>
    <t>zusätzlich FRACHTKOSTEN Belgien / Luxemburg</t>
  </si>
  <si>
    <t>3/Nomenclature IRFTS.</t>
  </si>
  <si>
    <t>3/ IRFTS bill of material</t>
  </si>
  <si>
    <t>3/ IRFTS Produktnomenklatur</t>
  </si>
  <si>
    <t xml:space="preserve">ENS RAILS 2600 SUP INF ACC. 7016M </t>
  </si>
  <si>
    <t>Set rails 2600 mm SUP INF  for adjustable shutter and accessories 7016M</t>
  </si>
  <si>
    <t>Pour claustra coulissant, ensemble de 1 rail haut et bas 2600 mm avec accessoires de montage 
Couleur 7016 mat (gris)</t>
  </si>
  <si>
    <t>Description produit</t>
  </si>
  <si>
    <t>STORE VERTICAL l3374 7016MAT 
Mermet satiné 5500-0201</t>
  </si>
  <si>
    <t>STORE VERTICAL l2543 7016MAT
Mermet satiné 5500-0201</t>
  </si>
  <si>
    <t>STORE VERTICAL l2543 9010BRI
Mermet satiné 5500-0201</t>
  </si>
  <si>
    <t>STORE VERTICAL l2693 7016MAT
Mermet satiné 5500-0201</t>
  </si>
  <si>
    <t>STORE VERTICAL l2693 9010BRI
Mermet satiné 5500-0201</t>
  </si>
  <si>
    <t>STORE VERTICAL l3793 9010BRI
Mermet satiné 5500-0201</t>
  </si>
  <si>
    <t>STORE VERTICAL l3374 9010BRI
Mermet satiné 5500-0201</t>
  </si>
  <si>
    <t>STORE VERTICAL l3793 7016MAT
Mermet satiné 5500-0201</t>
  </si>
  <si>
    <t>STORE VERTICAL l3943 7016MAT
Mermet satiné 5500-0201</t>
  </si>
  <si>
    <t>STORE VERTICAL l3943 9010BRI
Mermet satiné 5500-0201</t>
  </si>
  <si>
    <t>STORE VERTICAL l5043 7016MAT
Mermet satiné 5500-0201</t>
  </si>
  <si>
    <t>STORE VERTICAL l5043 9010BRI
Mermet satiné 5500-0201</t>
  </si>
  <si>
    <t>STORE VERTICAL l5074 7016MAT
Mermet satiné 5500-0201</t>
  </si>
  <si>
    <t>STORE VERTICAL l5074 9010BRI
Mermet satiné 5500-0201</t>
  </si>
  <si>
    <t>STORE VERTICAL l5193 7016MAT
Mermet satiné 5500-0201</t>
  </si>
  <si>
    <t>STORE VERTICAL l5193 9010BRI
Mermet satiné 5500-0201</t>
  </si>
  <si>
    <t>SET LED STRIP + POWER SUPPLY + receiver + remote control</t>
  </si>
  <si>
    <t>Set LED Lichtband + elektrische Stromversorgung + Empfänger + Fernbedienung</t>
  </si>
  <si>
    <t>PGSTAN90101B</t>
  </si>
  <si>
    <t>PGORLED01A</t>
  </si>
  <si>
    <t>PGST2390101B</t>
  </si>
  <si>
    <t>PGST327016M1B</t>
  </si>
  <si>
    <t>PGST3390101B</t>
  </si>
  <si>
    <t>PGST427016M1B</t>
  </si>
  <si>
    <t>PGST4290101B</t>
  </si>
  <si>
    <t>PGBC127016M1B</t>
  </si>
  <si>
    <t>PGBC1290101B</t>
  </si>
  <si>
    <t>PGBC1390101B</t>
  </si>
  <si>
    <t>PGPV127016M1B</t>
  </si>
  <si>
    <t>PGPV1390101B</t>
  </si>
  <si>
    <t>320x240x155</t>
  </si>
  <si>
    <t>Kit LED en ruban + ALIM + récepteur + télécommande</t>
  </si>
  <si>
    <t>4/ Noter la remise IRFTS</t>
  </si>
  <si>
    <t>4/ IRFTS discount</t>
  </si>
  <si>
    <t>4/ IRFTS Rabatt eingeben</t>
  </si>
  <si>
    <t>Catégorie I : 
lac ou zone à végétation négligeable et libre de tout obstacle.</t>
  </si>
  <si>
    <t>Category I : 
lakes or negligible vegetation area and free of obstructions.</t>
  </si>
  <si>
    <t>Kategorie I : Seen oder hindernissfreie Gebiete mit geringer Vegetation</t>
  </si>
  <si>
    <t>Kategorie II : geringe Vegetation wie Gras, mit oder ohne entfernte Störflächen (Bäume, Gebäude), die um 20-mal deren Höhe von einander beanstandet werden</t>
  </si>
  <si>
    <t>Kategorie III : Gebiet mit regelmässiger Pflanzendecke oder Gebäude, oder abgelegene Hindernisse, die um 20-mal deren Höhe von einander beanstandet werden</t>
  </si>
  <si>
    <t>Kategorie IV : Gebiet aus welchem mindestens 15% dessen Oberfläche mit Gebäude von einer über 15 Mtr Duchschnittshöhe bedeckt wird</t>
  </si>
  <si>
    <t>Category II : low vegetation area such as grass, with or without some isolated obstacles (trees, buildings) separated from each other by at least 20 times their height.</t>
  </si>
  <si>
    <t>Category III : 
area with regular vegetation or buildings, or with isolated obstacles separated more than 20 times their height.</t>
  </si>
  <si>
    <t>Category IV : 
area of which at least 15% of the surface is covered with buildings, including the average height is in excess of 15 m.</t>
  </si>
  <si>
    <t>Catégorie III : 
zone avec une couverture végétale régulière ou des bâtiments, ou avec des obstacles isolés séparés d'au plus 20 fois leur hauteur.</t>
  </si>
  <si>
    <t>Catégorie IV : 
zone dont au moins 15 % de la surface sont recouverts de bâtiments, dont la hauteur moyenne est supérieure à 15 m.</t>
  </si>
  <si>
    <t>Catégorie II : 
zone à végétation basse telle que de l’herbe, avec ou non quelques obstacles isolés (arbres, bâtiments) séparés les uns des autres d'au moins 20 fois leur hauteur.</t>
  </si>
  <si>
    <t>NOMENCLATURE PERGOSOLAR CONFORT</t>
  </si>
  <si>
    <t>NOMENCLATURE PERGOSOLAR HARMONY</t>
  </si>
  <si>
    <t>PERGOSOLAR CONFORT PARTS LIST</t>
  </si>
  <si>
    <t>PERGOSOLAR HARMONY PARTS LIST</t>
  </si>
  <si>
    <t>PERGOSOLAR CONFORT STÜCK LISTE</t>
  </si>
  <si>
    <t>PERGOSOLAR HARMONY STÜCK LISTE</t>
  </si>
  <si>
    <t>Dimensions du module PV</t>
  </si>
  <si>
    <t>PV module dimensions</t>
  </si>
  <si>
    <t>PV Module Dimensionen</t>
  </si>
  <si>
    <t>Longueur du module PV (mm)</t>
  </si>
  <si>
    <t>Largeur du module PV (mm)</t>
  </si>
  <si>
    <t>Epaisseur du module PV (mm)</t>
  </si>
  <si>
    <t>Modèle de PERGOSOLAR</t>
  </si>
  <si>
    <t>PV module length (mm)</t>
  </si>
  <si>
    <t>PV module thickness (mm)</t>
  </si>
  <si>
    <t>PV module width (mm)</t>
  </si>
  <si>
    <t>PV Module Länge</t>
  </si>
  <si>
    <t>PV Module Breite</t>
  </si>
  <si>
    <t>PV Module Dicke</t>
  </si>
  <si>
    <t>PERGOSOLAR Modell</t>
  </si>
  <si>
    <t>PERGOSOLAR choice</t>
  </si>
  <si>
    <t>30 - 50</t>
  </si>
  <si>
    <t>1640 - 1700</t>
  </si>
  <si>
    <t>1740 - 1800</t>
  </si>
  <si>
    <t>962 - 1030</t>
  </si>
  <si>
    <t>1030 - 1098</t>
  </si>
  <si>
    <t>longueur</t>
  </si>
  <si>
    <t>Livraison</t>
  </si>
  <si>
    <t>claustra</t>
  </si>
  <si>
    <t>MODULE PV</t>
  </si>
  <si>
    <t>PV module</t>
  </si>
  <si>
    <t>PV Module</t>
  </si>
  <si>
    <t>FORMAT &amp; OPTIONS</t>
  </si>
  <si>
    <t>VERIFICATION MECANIQUE</t>
  </si>
  <si>
    <t>STATIC CALCULATION</t>
  </si>
  <si>
    <t>Nombre de paires de pieds par Pergola</t>
  </si>
  <si>
    <t>Nombre de paires d'équerres de fixation par Pergola</t>
  </si>
  <si>
    <t>Quantity of pergola feet (pair)</t>
  </si>
  <si>
    <t>Quantity of fixing brackets (pair)</t>
  </si>
  <si>
    <t>CONFORT</t>
  </si>
  <si>
    <t>HARMONY</t>
  </si>
  <si>
    <t>HARST227016M1A</t>
  </si>
  <si>
    <t>PG HARMONY STRUCTURE 2x2 7016 MAT</t>
  </si>
  <si>
    <t>PG HARMONY STRUCTURE 2x2 9010 GLOSSY</t>
  </si>
  <si>
    <t>PG HARMONY STRUCTURE 2x3 7016 MAT</t>
  </si>
  <si>
    <t>PG HARMONY STRUCTURE 2x3 9010 GLOSSY</t>
  </si>
  <si>
    <t>PG HARMONY STRUCTURE 3x3 7016 MAT</t>
  </si>
  <si>
    <t>PG HARMONY STRUCTURE 3x3 9010 GLOSSY</t>
  </si>
  <si>
    <t>PG HARMONY STRUCTURE 4x2 7016 MAT</t>
  </si>
  <si>
    <t>PG HARMONY STRUCTURE 4x2 9010 GLOSSY</t>
  </si>
  <si>
    <t>PG HARMONY STRUCTURE 4x3 7016 MAT</t>
  </si>
  <si>
    <t>PG HARMONY STRUCTURE 4x3 9010 GLOSSY</t>
  </si>
  <si>
    <t>PG HARMONY STRUKTUR 2x2 7016 GRAU MATT</t>
  </si>
  <si>
    <t>PG HARMONY STRUKTUR 2x2 9010 GLANZWEISS</t>
  </si>
  <si>
    <t>PG HARMONY STRUKTUR 2x3 7016 GRAU MATT</t>
  </si>
  <si>
    <t>PG HARMONY STRUKTUR 2x3 9010 GLANZWEISS</t>
  </si>
  <si>
    <t>PG HARMONY STRUKTUR 3x3 7016 GRAU MATT</t>
  </si>
  <si>
    <t>PG HARMONY STRUKTUR 3x3 9010 GLANZWEISS</t>
  </si>
  <si>
    <t>PG HARMONY STRUKTUR 4x2 7016 GRAU MATT</t>
  </si>
  <si>
    <t>PG HARMONY STRUKTUR 4x2 9010 GLANZWEISS</t>
  </si>
  <si>
    <t>PG HARMONY STRUKTUR 4x3 7016 GRAU MATT</t>
  </si>
  <si>
    <t>PG HARMONY STRUKTUR 4x3 9010 GLANZWEISS</t>
  </si>
  <si>
    <t>PG HARMONY STRUCTURE 3x2 7016 MAT</t>
  </si>
  <si>
    <t>PG HARMONY STRUCTURE 3x2 9010 GLOSSY</t>
  </si>
  <si>
    <t>PG HARMONY STRUKTUR 3x2  7016 GRAU MATT</t>
  </si>
  <si>
    <t>PG HARMONY STRUKTUR 3x2  9010 GLANZWEISS</t>
  </si>
  <si>
    <t>kit structure pour une pergola HARMONY 2x2
couleur  : 7016 Mat</t>
  </si>
  <si>
    <t>kit structure pour une pergola HARMONY 2x2
couleur  : 9010 brillant</t>
  </si>
  <si>
    <t>kit structure pour une pergola HARMONY 2x3
couleur  : 7016 Mat</t>
  </si>
  <si>
    <t>kit structure pour une pergola HARMONY 2x3
couleur  : 9010 brillant</t>
  </si>
  <si>
    <t>kit structure pour une pergola HARMONY 3x2
couleur  : 7016 Mat</t>
  </si>
  <si>
    <t>kit structure pour une pergola HARMONY 3x2
couleur  : 9010 brillant</t>
  </si>
  <si>
    <t>kit structure pour une pergola HARMONY 3x3
couleur  : 7016 Mat</t>
  </si>
  <si>
    <t>kit structure pour une pergola HARMONY 3x3
couleur  : 9010 brillant</t>
  </si>
  <si>
    <t>kit structure pour une pergola HARMONY 4x2
couleur  : 7016 Mat</t>
  </si>
  <si>
    <t>kit structure pour une pergola HARMONY 4x2
couleur  : 9010 brillant</t>
  </si>
  <si>
    <t>kit structure pour une pergola HARMONY 4x3
couleur  : 7016 Mat</t>
  </si>
  <si>
    <t>kit structure pour une pergola HARMONY 4x3
couleur  : 9010 brillant</t>
  </si>
  <si>
    <t>structure kit for one 2x2 HARMONY pergola
color: 7016 Mat</t>
  </si>
  <si>
    <t>structure kit for one 2x2 HARMONY pergola_x000D_
color: 9010 glossy</t>
  </si>
  <si>
    <t>structure kit for one 2x3 HARMONY pergola_x000D_
color: 7016 Mat</t>
  </si>
  <si>
    <t>structure kit for one 2x3 HARMONY pergola_x000D_
color: 9010 glossy</t>
  </si>
  <si>
    <t>structure kit for a HARMONY pergola 3x2
RAL 7016 Mat</t>
  </si>
  <si>
    <t>structure kit for a HARMONY pergola 3x2
RAL 9010 Glossy white</t>
  </si>
  <si>
    <t>structure kit for one 3x3 HARMONY pergola_x000D_
color: 7016 Mat</t>
  </si>
  <si>
    <t>structure kit for one 3x3 HARMONY pergola_x000D_
color: 9010 glossy</t>
  </si>
  <si>
    <t>structure kit for one 4x2 HARMONY pergola_x000D_
color: 7016 Mat</t>
  </si>
  <si>
    <t>structure kit for one 4x2 HARMONY pergola_x000D_
color: 9010 glossy</t>
  </si>
  <si>
    <t>structure kit for one 4x3 HARMONY pergola_x000D_
color: 7016 Mat</t>
  </si>
  <si>
    <t>structure kit for one 4x3 HARMONY pergola_x000D_
color: 9010 glossy</t>
  </si>
  <si>
    <t>Strukturbausatz für eine 2x2 HARMONY Pergola
7016 MATT GRAU</t>
  </si>
  <si>
    <t>Strukturbausatz für eine 2x2 HARMONY Pergola
9010 GLANZWEISS</t>
  </si>
  <si>
    <t>Strukturbausatz für eine 2x3 HARMONY Pergola
7016 MATT GRAU</t>
  </si>
  <si>
    <t>Strukturbausatz für eine 2x3 HARMONY Pergola
9010 GLANZWEISS</t>
  </si>
  <si>
    <t>Struktur-Kit für eine HARMONY Pergola 3x2
Farbe : 7016 Grau Matt</t>
  </si>
  <si>
    <t>Struktur-Kit für eine HARMONY Pergola 3x2
Farbe: 9010 Glanzweiss</t>
  </si>
  <si>
    <t>Strukturbausatz für eine 3x3- HARMONY Pergola
7016 MATT GRAU</t>
  </si>
  <si>
    <t>Strukturbausatz für eine 3x3- HARMONY Pergola
9010 GLANZWEISS</t>
  </si>
  <si>
    <t>Strukturbausatz für eine 4x2- HARMONY Pergola
7016 MATT GRAU</t>
  </si>
  <si>
    <t>structure kit for a 4x2 HARMONY pergola
9010 GLANZWEISS</t>
  </si>
  <si>
    <t>Strukturbausatz für eine 4x3- HARMONY Pergola
7016 MATT GRAU</t>
  </si>
  <si>
    <t>Strukturbausatz für eine 4x3- HARMONY Pergola
9010 GLANZWEISS</t>
  </si>
  <si>
    <t>PG HARMONY STRUCTURE 2x2 9010 BRILLANT</t>
  </si>
  <si>
    <t>PG HARMONY STRUCTURE 2x3 9010 BRILLANT</t>
  </si>
  <si>
    <t xml:space="preserve">PG HARMONY STRUCTURE 3x2 9010 </t>
  </si>
  <si>
    <t>PG HARMONY STRUCTURE 3x3 9010 BRILLANT</t>
  </si>
  <si>
    <t>PG HARMONY STRUCTURE 4x2 9010 BRILLANT</t>
  </si>
  <si>
    <t>PG HARMONY STRUCTURE 4x3 9010 BRILLANT</t>
  </si>
  <si>
    <t>PG 1 LIGNE BC 1x2 3652mm 7016 MAT</t>
  </si>
  <si>
    <t>PG 1 LINE BC 1x2 3652mm 7016 MAT</t>
  </si>
  <si>
    <t>LBC12L365290101A</t>
  </si>
  <si>
    <t>PG 1 LIGNE BC 1x2 3652mm 9010 BRILLANT</t>
  </si>
  <si>
    <t>PG 1 LINE BC 1x2 3652mm 9010 GLOSSY</t>
  </si>
  <si>
    <t>kit de 5 lames  = "1 ligne" L3652mm , pour une pergola de 2 modules de large
Lames  : Blanches 9010 mat
Autres pièces en gris 7016 Mat</t>
  </si>
  <si>
    <t>kit de 5 lames  = "1 lignes" L3652mm, pour une pergola de 2 modules de large
Lames  : Blanches 9010 brillant
Autres pièces en ral 9010 Brillant</t>
  </si>
  <si>
    <t xml:space="preserve"> 5-blade-kit = "1 row" L3652mm, for one pergola of 2 modules wide
Blades: White 9010 mat
Other parts in grey 7016 Mat</t>
  </si>
  <si>
    <t>5-blade-kit = "1 row" L3652mm, for one pergola of 2 modules wide
Blades: White 9010 glossy
Other parts in ral 9010 Glossy</t>
  </si>
  <si>
    <t>Set von 5 Lamellen = "1 Reihe" L3652mm, für eine Pergola mit 2 Modulen Breite
Lamellen: Weiß 9010 mat
Andere Teile 7016 MATT GRAU</t>
  </si>
  <si>
    <t>Set von 5 Lamellen = "1 Reihe" L3652mm, für eine Pergola mit 2 Modulen Breite
Lamellen: 9010 GLANZWEISS
Andere Teile RAL 9010 GLANZWEISS</t>
  </si>
  <si>
    <t>kit de 5 lames  = "1 ligne" L5452mm, pour une pergola de 3 modules de large
Lames  : Blanches 7016 mat
Autres pièces en ral gris 7016 Mat</t>
  </si>
  <si>
    <t>kit de 5 lames  = "1 ligne" L5452mm, pour une pergola de 3 modules de large
Lames  : Blanches 9010 brillant
Autres pièces en ral  9010 Brillant</t>
  </si>
  <si>
    <t>5-blade-kit = "1 row" L5452mm, for one pergola of 3 modules wide
Blades: White 9010 mat
Other parts in ral grey 7016 Mat</t>
  </si>
  <si>
    <t>5-blade-kits = "1 row" L5452mm, for one pergola of 3 modules wide
Blades: White 9010 glossy
Other parts in ral 9010 Glossy</t>
  </si>
  <si>
    <t>Set von 5 Lamellen = "1 Reihe" L5452mm, für eine Pergola mit 3 Modulen Breite
Lamellen: Weiß 9010 matt
Andere Teile 7016 MATT GRAU</t>
  </si>
  <si>
    <t>Set von 5 Lamellen = "1 Reihe" L5452mm, für eine Pergola mit 3 Modulen Breite
Lamellen: 9010 GLANZWEISS
Andere Teile RAL 9010 GLANZWEISS</t>
  </si>
  <si>
    <t>PG 1 LIGNE BC 1x3 5452mm 7016 MAT</t>
  </si>
  <si>
    <t>PG 1 LIGNE BC 1x3 5452mm 9010 BRILLANT</t>
  </si>
  <si>
    <t>PG 1 LINE BC 1x3 5452mm 7016 MAT</t>
  </si>
  <si>
    <t>PG 1 LINE BC 1x3 5452mm 9010 GLOSSY</t>
  </si>
  <si>
    <t>LBC13L545290101A</t>
  </si>
  <si>
    <t>O1UP10197016M1A</t>
  </si>
  <si>
    <t>O1UP101990101A</t>
  </si>
  <si>
    <t>PG ACC 1 SOUS FACE 1019mm 7016 MAT</t>
  </si>
  <si>
    <t>PG ACC 1 UNDER PLATE 1019mm 7016 MAT</t>
  </si>
  <si>
    <t>PG ACC 1 SOUS FACE 1019mm 9010 BRILLANT</t>
  </si>
  <si>
    <t>PG ACC 1 UNDER PLATE 1019mm 9010 GLOSSY</t>
  </si>
  <si>
    <t>PG OPT ZUBEHÖR FÜR 1 UNTERSEITE 1019mm 7016 GRAU MATT</t>
  </si>
  <si>
    <t>PG OPT ZUBEHÖR  FÜR 1 UNTERSEITE 1019mm 9010 GLANZWEISS</t>
  </si>
  <si>
    <t>kit de fixation de sous-face (pour une plaque), 1019mm, en ral 7016 Mat</t>
  </si>
  <si>
    <t>kit de fixation de sous-face (pour une plaque), 1019mm, en ral 9010 Brillant</t>
  </si>
  <si>
    <t>fixing kit for underside (for one plate), 1019mm, RAL 7016 Matt</t>
  </si>
  <si>
    <t>fixing kit for underside (for one plate), 1019mm,  RAL 9010 glossy</t>
  </si>
  <si>
    <t>Dachunterdecke Befestigungsset (für eine Platte), 1019mm, RAL 7016  MATT GRAU</t>
  </si>
  <si>
    <t>Dachunterdecke Befestigungsset (für eine Platte), 1019mm, RAL 9010 GLANZWEISS</t>
  </si>
  <si>
    <t>LPV12L36407016M1A</t>
  </si>
  <si>
    <t>LPV12L364090101A</t>
  </si>
  <si>
    <t>LPV13L54407016M1A</t>
  </si>
  <si>
    <t>LPV13L544090101A</t>
  </si>
  <si>
    <t>PG 1 LIGNE PV 1x2 3640mm 7016 MAT</t>
  </si>
  <si>
    <t>PG 1 LIGNE PV 1x2 3640mm 9010 BRILLANT</t>
  </si>
  <si>
    <t>PG 1 LINE PV 1x2 3640mm 7016 MAT</t>
  </si>
  <si>
    <t>PG 1 LINE PV 1x2 3640mm 9010 GLOSSY</t>
  </si>
  <si>
    <t>PG 1 LINIE BC 1x2 3652mm 9010 GLANZWEISS</t>
  </si>
  <si>
    <t>PG 1 LINIE BC 1x3 5452mm 9010 GLANZWEISS</t>
  </si>
  <si>
    <t>PG 1 LINIE PV 1x2 3640mm 9010 GLANZWEISS</t>
  </si>
  <si>
    <t>kit pour 1 ligne de panneaux photovoltaiques L3640mm, pour pergola de 2 modules de large
couleur  : ral 7016 Mat</t>
  </si>
  <si>
    <t>kit pour 1 ligne de panneaux photovoltaiques L3640mm, pour pergola de 2 modules de large
couleur  : ral 9010 Brillant</t>
  </si>
  <si>
    <t xml:space="preserve"> kit for 1 line of photovoltaic panels L3640mm, for pergola of 2 modules wide
color: ral 7016 Mat</t>
  </si>
  <si>
    <t xml:space="preserve"> kit for 1 line of photovoltaic panels L3640mm, for pergola of 2 modules wide
color: RAL 9010 glossy</t>
  </si>
  <si>
    <t>Set für eine Reihe PV Module L3640mm, für eine Pergola mit 2 Modulen Saülen - RAL 7016 Grau Matt</t>
  </si>
  <si>
    <t>Set für eine Reihe PV Module L3640mm, für eine Pergola mit 2 Modulen Saülen - RAL 7016 Glanzweiss</t>
  </si>
  <si>
    <t>PG 1 LINIE BC 1x3 5452mm 7016 MATT GRAU</t>
  </si>
  <si>
    <t>PG 1 LINIE PV 1x2 3640mm 7016 MATT GRAU</t>
  </si>
  <si>
    <t>PG 1 LINIE BC 1x2 3652mm 7016 MATT GRAU</t>
  </si>
  <si>
    <t>kit pour 1 ligne de panneaux photovoltaiques L5440mm, pour pergola de 3 modules de large
couleur  : ral 7016 Mat</t>
  </si>
  <si>
    <t>kit pour 1 ligne de panneaux photovoltaiques L5440mm, pour pergola de 3 modules de large
couleur  : ral 9010 Brillant</t>
  </si>
  <si>
    <t>kit for 1 line of photovoltaic panels L5440mm, for pergola of 3 modules wide
color : ral 7016 Mat</t>
  </si>
  <si>
    <t>kit for 1 line of photovoltaic panels L5440mm, for pergola of 3 modules wide
colour: ral 9010 Glossy</t>
  </si>
  <si>
    <t>Set für eine Reihe PV Module L5440mm, für eine Pergola mit 3 Modulen Saülen - RAL 7016 Grau Matt</t>
  </si>
  <si>
    <t>Set für eine Reihe PV Module L5440mm, für eine Pergola mit 3 Modulen Saülen - RAL 7016 Glanzweiss</t>
  </si>
  <si>
    <t>PG 1 LIGNE PV 1x3 5440mm 7016 MAT</t>
  </si>
  <si>
    <t>PG 1 LIGNE PV 1x3 5440mm 9010 BRILLANT</t>
  </si>
  <si>
    <t>PG 1 LINE PV 1x3 5440mm 7016 MAT</t>
  </si>
  <si>
    <t>PG 1 LINE PV 1x3 5440mm 9010 GLOSSY</t>
  </si>
  <si>
    <t>PG 1 LINIE PV 1x3 5440mm 7016 MATT GRAU</t>
  </si>
  <si>
    <t>PG 1 LINIE PV 1x3 5440mm 9010 GLANZWEISS</t>
  </si>
  <si>
    <t>PG KIT RUBANS LED 24M 3200°K + E/R</t>
  </si>
  <si>
    <t>SET LED STRIP 24M 3200°K</t>
  </si>
  <si>
    <t>SET LED LICHTBAND 24M 3200°K</t>
  </si>
  <si>
    <t>Kit LED en ruban 24m + ALIM + récepteur + télécommande</t>
  </si>
  <si>
    <t>SET LED STRIP 24m + POWER SUPPLY + receiver + remote control</t>
  </si>
  <si>
    <t>Set LED Lichtband 24m + elektrische Stromversorgung + Empfänger + Fernbedienung</t>
  </si>
  <si>
    <t>PRT0P00995AA</t>
  </si>
  <si>
    <t>PRT0P00996AA</t>
  </si>
  <si>
    <t>PG SOUS FACE x2 CLASSIC - HARMONY</t>
  </si>
  <si>
    <t>PG SOUS FACE x3 CLASSIC - HARMONY</t>
  </si>
  <si>
    <t>PG UNDERPLATE x2 CLASSIC - HARMONY</t>
  </si>
  <si>
    <t>PG UNDERPLATE x3 CLASSIC - HARMONY</t>
  </si>
  <si>
    <t>PG UNTERSEITE x2 CLASSIC - HARMONY</t>
  </si>
  <si>
    <t>PG UNTERSEITE x3 CLASSIC - HARMONY</t>
  </si>
  <si>
    <t>PG KIT 2 FIXATIONS MURALES 7016 MAT</t>
  </si>
  <si>
    <t>PG KIT 2 FIXATIONS MURALES RAL9010</t>
  </si>
  <si>
    <t>SET 2 FEET BASE 9010 GLOSSY</t>
  </si>
  <si>
    <t>plaque de makrolon 1048 x 2680 x 16 mm</t>
  </si>
  <si>
    <t>makrolon plate 1048 x 2680 x 16 mm</t>
  </si>
  <si>
    <t>Machrolon Platte 1048 x 2680 x 16 mm</t>
  </si>
  <si>
    <t>Machrolon Platte 1048 x 3590 x 16 mm</t>
  </si>
  <si>
    <t>makrolon plate 1048 x 3590 x 16 mm</t>
  </si>
  <si>
    <t>plaque de makrolon 1048 x 3590 x 16 mm</t>
  </si>
  <si>
    <t>PGOASM7016M1B</t>
  </si>
  <si>
    <t>PGOASM90101B</t>
  </si>
  <si>
    <t>PG KIT JUMELAGE 7016 MAT</t>
  </si>
  <si>
    <t>PG KIT JUMELAGE 9010 BRI</t>
  </si>
  <si>
    <t>PG SET TWINNING 7016 MAT</t>
  </si>
  <si>
    <t>PG SET TWINNING 9010 GLO</t>
  </si>
  <si>
    <t>KIT JUMELAGE CONFORT 7016 MAT</t>
  </si>
  <si>
    <t>KIT JUMELAGE CONFORT 9010 BRI</t>
  </si>
  <si>
    <t>CONFORT TWINNING SET 7016 MAT</t>
  </si>
  <si>
    <t>CONFORT TWINNING SET 9010 GLO</t>
  </si>
  <si>
    <t xml:space="preserve">Kit de déport des pieds + évacuation d'eau </t>
  </si>
  <si>
    <t>5200x700x250</t>
  </si>
  <si>
    <t>3600x400x400</t>
  </si>
  <si>
    <t>5300x400x350</t>
  </si>
  <si>
    <t>2450x1055x100</t>
  </si>
  <si>
    <t>2450x2055x100</t>
  </si>
  <si>
    <t>2740x70x80</t>
  </si>
  <si>
    <t>2400x150x150</t>
  </si>
  <si>
    <t>SCREEN are not yet available, please contact us</t>
  </si>
  <si>
    <t>Chiffrage STORE actuellement indisponible pour PERGOSOLAR HARMONY, merci de nous contacter</t>
  </si>
  <si>
    <t>3876 x 2981</t>
  </si>
  <si>
    <t>5676 x 2981</t>
  </si>
  <si>
    <t>3876 x 4299</t>
  </si>
  <si>
    <t>5676 x 4299</t>
  </si>
  <si>
    <t>3876 x 5617</t>
  </si>
  <si>
    <t>5676 x 5617</t>
  </si>
  <si>
    <t>PERGOSOLAR HARMONY</t>
  </si>
  <si>
    <t>PERGOSOLAR CONFORT</t>
  </si>
  <si>
    <t>1/ Dans l'onglet "Definition PERGOSOLAR", renseigner les lignes.</t>
  </si>
  <si>
    <t>Chiffrage CLAUSTRA COULISSANTE actuellement indisponible pour PERGOSOLAR HARMONY, merci de nous contacter</t>
  </si>
  <si>
    <t>ADJUSTABLE SHUTTER are not yet available, please contact us</t>
  </si>
  <si>
    <t>HARST2290101A</t>
  </si>
  <si>
    <t>HARST237016M1A</t>
  </si>
  <si>
    <t>HARST2390101A</t>
  </si>
  <si>
    <t>HARST327016M1A</t>
  </si>
  <si>
    <t>HARST3290101A</t>
  </si>
  <si>
    <t>HARST337016M1A</t>
  </si>
  <si>
    <t>HARST3390101A</t>
  </si>
  <si>
    <t>HARST427016M1A</t>
  </si>
  <si>
    <t>HARST4290101A</t>
  </si>
  <si>
    <t>HARST437016M1A</t>
  </si>
  <si>
    <t>HARST4390101A</t>
  </si>
  <si>
    <t>PGST237016M1B</t>
  </si>
  <si>
    <t>Qté Totale</t>
  </si>
  <si>
    <t>RUBAN LED</t>
  </si>
  <si>
    <t>SOUS-FACE</t>
  </si>
  <si>
    <t>PGOASM7016M1A</t>
  </si>
  <si>
    <t>PGOASM90101A</t>
  </si>
  <si>
    <t>OVS2Y7016M1A</t>
  </si>
  <si>
    <t>OVS2Y90101A</t>
  </si>
  <si>
    <t>OVS2YP7016M1A</t>
  </si>
  <si>
    <t>OVS2YP90101A</t>
  </si>
  <si>
    <t>OVS2X7016M1A</t>
  </si>
  <si>
    <t>OVS2X90101A</t>
  </si>
  <si>
    <t>OVS3Y7016M1A</t>
  </si>
  <si>
    <t>OVS3Y90101A</t>
  </si>
  <si>
    <t>OVS3YP7016M1A</t>
  </si>
  <si>
    <t>OVS3YP90101A</t>
  </si>
  <si>
    <t>OVS4Y7016M1A</t>
  </si>
  <si>
    <t>OVS4Y90101A</t>
  </si>
  <si>
    <t>OVS3X7016M1A</t>
  </si>
  <si>
    <t>OVS3X90101A</t>
  </si>
  <si>
    <t>OVS4YP7016M1A</t>
  </si>
  <si>
    <t>OVS4YP90101A</t>
  </si>
  <si>
    <t>PGORS277016M1A</t>
  </si>
  <si>
    <t>VERTICAL SCREEN l3574 7016MAT 201</t>
  </si>
  <si>
    <t>VERTICAL SCREEN l3574 9010GLO 201</t>
  </si>
  <si>
    <t>STORE VERTICAL l3574*2400 7016MAT, Mermet satiné 5500-0201
RS SMART 100, moteur FAHER ONE + 1 interrupteur à appliquer</t>
  </si>
  <si>
    <t>PG STORE VERTICAL l3574 7016MAT 201</t>
  </si>
  <si>
    <t>PG STORE VERTICAL l3574 9010BRI 201</t>
  </si>
  <si>
    <t>STORE VERTICAL l3574*2400 9010, Mermet satiné 5500-0201
RS SMART 100, moteur FAHER ONE + 1 interrupteur à appliquer</t>
  </si>
  <si>
    <t>PG STORE VERTICAL l2679 9010BRI 201</t>
  </si>
  <si>
    <t>PG STORE VERTICAL l2829 7016MAT 201</t>
  </si>
  <si>
    <t>VERTICAL SCREEN l2679 7016MAT 201</t>
  </si>
  <si>
    <t>VERTICAL SCREEN l2679 9010GLO 201</t>
  </si>
  <si>
    <r>
      <t>AU</t>
    </r>
    <r>
      <rPr>
        <sz val="11"/>
        <color theme="1"/>
        <rFont val="Calibri"/>
        <family val="2"/>
      </rPr>
      <t>βENBLENDE</t>
    </r>
    <r>
      <rPr>
        <sz val="11"/>
        <color theme="1"/>
        <rFont val="Calibri"/>
        <family val="2"/>
        <scheme val="minor"/>
      </rPr>
      <t xml:space="preserve"> L. 2679 7016 MATT GRAU 201</t>
    </r>
  </si>
  <si>
    <t>AUβENBLENDE L. 2679 9010 GLANZWEISS 201</t>
  </si>
  <si>
    <t>STORE VERTICAL l2679*2400 7016MAT, Mermet satiné 5500-0201
RS SMART 100, moteur FAHER ONE + 1 interrupteur à appliquer</t>
  </si>
  <si>
    <t>STORE VERTICAL l2679*2400 9010, Mermet satiné 5500-0201
RS SMART 100, moteur FAHER ONE + 1 interrupteur à appliquer</t>
  </si>
  <si>
    <t>PG STORE VERTICAL l2829 9010BRI 201</t>
  </si>
  <si>
    <t>VERTICAL SCREEN l2829 7016MAT 201</t>
  </si>
  <si>
    <t>VERTICAL SCREEN l2829 9010GLO 201</t>
  </si>
  <si>
    <t>STORE VERTICAL l2829*2400 7016MAT, Mermet satiné 5500-0201
RS SMART 100, moteur FAHER ONE + 1 interrupteur à appliquer</t>
  </si>
  <si>
    <t>STORE VERTICAL l2829*2400 9010, Mermet satiné 5500-0201
RS SMART 100, moteur FAHER ONE + 1 interrupteur à appliquer</t>
  </si>
  <si>
    <t>PG STORE VERTICAL l5374 7016MAT 201</t>
  </si>
  <si>
    <t>PG STORE VERTICAL l5374 9010BRI 201</t>
  </si>
  <si>
    <t>VERTICAL SCREEN l5374 7016MAT 201</t>
  </si>
  <si>
    <t>VERTICAL SCREEN l5374 9010GLO 201</t>
  </si>
  <si>
    <t>STORE VERTICAL l5374*2400 7016MAT, Mermet satiné 5500-0201
RS SMART 100, moteur FAHER ONE + 1 interrupteur à appliquer</t>
  </si>
  <si>
    <t>STORE VERTICAL l5374*2400 9010, Mermet satiné 5500-0201
RS SMART 100, moteur FAHER ONE + 1 interrupteur à appliquer</t>
  </si>
  <si>
    <t>AUβENBLENDE L. 5374 7016 MATT GRAU 201</t>
  </si>
  <si>
    <t>AUβENBLENDE L. 5374 9010 GLANZWEISS 201</t>
  </si>
  <si>
    <t>STORE VERTICAL l3997*2400 7016MAT, Mermet satiné 5500-0201
RS SMART 100, moteur FAHER ONE + 1 interrupteur à appliquer</t>
  </si>
  <si>
    <t>STORE VERTICAL l3997*2400 9010, Mermet satiné 5500-0201
RS SMART 100, moteur FAHER ONE + 1 interrupteur à appliquer</t>
  </si>
  <si>
    <t>STORE VERTICAL l4147*2400 7016MAT, Mermet satiné 5500-0201
RS SMART 100, moteur FAHER ONE + 1 interrupteur à appliquer</t>
  </si>
  <si>
    <t>STORE VERTICAL l4147*2400 9010, Mermet satiné 5500-0201
RS SMART 100, moteur FAHER ONE + 1 interrupteur à appliquer</t>
  </si>
  <si>
    <t>PG STORE VERTICAL l4147 7016MAT 201</t>
  </si>
  <si>
    <t>PG STORE VERTICAL l4147 9010BRI 201</t>
  </si>
  <si>
    <t>VERTICAL SCREEN l4147 7016MAT 201</t>
  </si>
  <si>
    <t>VERTICAL SCREEN l4147 9010GLO 201</t>
  </si>
  <si>
    <t>PG STORE VERTICAL l3997 7016MAT 201</t>
  </si>
  <si>
    <t>PG STORE VERTICAL l3997 9010BRI 201</t>
  </si>
  <si>
    <t>VERTICAL SCREEN l3997 7016MAT 201</t>
  </si>
  <si>
    <t>VERTICAL SCREEN l3997 9010GLO 201</t>
  </si>
  <si>
    <t>AUβENBLENDE L. 3997 7016 MATT GRAU 201</t>
  </si>
  <si>
    <t>VAUβENBLENDE l3997 9010 GLANZWEISS 201</t>
  </si>
  <si>
    <t>AUβENBLENDE L. 4147 7016 MATT GRAU 201</t>
  </si>
  <si>
    <t>AUβENBLENDE L. 414 9010 GLANZWEISS 201</t>
  </si>
  <si>
    <t>AUβENBLENDE L.2829693 7016 MATT GRAU 201</t>
  </si>
  <si>
    <t>AUβENBLENDE L. 2829 9010 GLANZWEISS 201</t>
  </si>
  <si>
    <t>AUβENBLENDE L. 3574 7016 MATT GRAU 201</t>
  </si>
  <si>
    <t>AUβENBLENDE L. 3574 9010 GLANZWEISS 201</t>
  </si>
  <si>
    <t>PG STORE VERTICAL l5315 7016MAT 201</t>
  </si>
  <si>
    <t>PG STORE VERTICAL l5315 9010BRI 201</t>
  </si>
  <si>
    <t>VERTICAL SCREEN l5315 7016MAT 201</t>
  </si>
  <si>
    <t>VERTICAL SCREEN l5315 9010GLO 201</t>
  </si>
  <si>
    <t>AUβENBLENDE l5315 7016 MATT GRAU 201</t>
  </si>
  <si>
    <t>AUβENBLENDE L. 5315 9010 GLANZWEISS 201</t>
  </si>
  <si>
    <t>STORE VERTICAL l5315*2400 7016MAT, Mermet satiné 5500-0201
RS SMART 100, moteur FAHER ONE + 1 interrupteur à appliquer</t>
  </si>
  <si>
    <t>STORE VERTICAL l5315*2400 9010, Mermet satiné 5500-0201
RS SMART 100, moteur FAHER ONE + 1 interrupteur à appliquer</t>
  </si>
  <si>
    <t>PG STORE VERTICAL l5465 7016MAT 201</t>
  </si>
  <si>
    <t>VERTICAL SCREEN l5465 9010GLO 201</t>
  </si>
  <si>
    <t>VERTICAL SCREEN l5465 7016MAT 201</t>
  </si>
  <si>
    <t>PG STORE VERTICAL l5465 9010BRI 201</t>
  </si>
  <si>
    <t>AUβENBLENDE L. 5465 7016 MATT GRAU 201</t>
  </si>
  <si>
    <t>AUβENBLENDE L.5465 9010 GLANZWEISS 201</t>
  </si>
  <si>
    <t>STORE VERTICAL l5465*2400 7016MAT, Mermet satiné 5500-0201
RS SMART 100, moteur FAHER ONE + 1 interrupteur à appliquer</t>
  </si>
  <si>
    <t>STORE VERTICAL l5465*2400 9010, Mermet satiné 5500-0201
RS SMART 100, moteur FAHER ONE + 1 interrupteur à appliquer</t>
  </si>
  <si>
    <t>SET RAILS 2700 SUP INF ACC 7016M</t>
  </si>
  <si>
    <t xml:space="preserve">PG ENS RAILS 2700 SUP INF ACC. 7016M </t>
  </si>
  <si>
    <t>Pour claustra coulissant, ensemble de 1 rail haut et bas 2700 mm avec accessoires de montage 
Couleur 7016 mat (gris)</t>
  </si>
  <si>
    <t>Set rails 2700 mm SUP INF for adjustable shutter and accessories 7016M</t>
  </si>
  <si>
    <t>TVPRS868A04B</t>
  </si>
  <si>
    <t>Récepteur IP54 pour moteur tubulaire (screen-store)  PGOVS</t>
  </si>
  <si>
    <t>RECEIVER IP54 PGOVS</t>
  </si>
  <si>
    <t>KIT 2 EMBASES ENCASTREES 7016 MAT</t>
  </si>
  <si>
    <t>KIT 2 EMBASES ENCASTREES 9010</t>
  </si>
  <si>
    <t>PG SET 2 RECESSED FEET BASE 7016 MAT</t>
  </si>
  <si>
    <t>PG SET 2 RECESSED FEET BASE 9010</t>
  </si>
  <si>
    <t>206*90*55</t>
  </si>
  <si>
    <t>PGO2RCB7016M1A</t>
  </si>
  <si>
    <t>PGO2RCB90101A</t>
  </si>
  <si>
    <t>Option embases encastrées</t>
  </si>
  <si>
    <t xml:space="preserve">Option Recessed feet base </t>
  </si>
  <si>
    <t>Embases Pieds</t>
  </si>
  <si>
    <t>kit 2 basa piedi per SHADOW SOLAR</t>
  </si>
  <si>
    <t>PDC0P00825AA</t>
  </si>
  <si>
    <t>TELECOMMANDE TVNOON868NM63L</t>
  </si>
  <si>
    <t>Remote control TVNOON868NM63L</t>
  </si>
  <si>
    <t>3850*700*250</t>
  </si>
  <si>
    <t>5500*700*250</t>
  </si>
  <si>
    <t>4200*700*250</t>
  </si>
  <si>
    <t>3800*400*400</t>
  </si>
  <si>
    <t>5800*400*350</t>
  </si>
  <si>
    <t>1030*60*30</t>
  </si>
  <si>
    <t>PG STORE VERTICAL l2679 7016MAT 201</t>
  </si>
  <si>
    <t>3600*170*130
2480*170*130</t>
  </si>
  <si>
    <t>5400*170*130
2480*170*130</t>
  </si>
  <si>
    <t>3000*170*130
2480*170*130</t>
  </si>
  <si>
    <t>4200*170*130
2480*170*130</t>
  </si>
  <si>
    <t>5500*170*130
2480*170*130</t>
  </si>
  <si>
    <t>2840*70*80</t>
  </si>
  <si>
    <t>RLED6M01A</t>
  </si>
  <si>
    <t>PGOCF27016M1A</t>
  </si>
  <si>
    <t>LBC12L36527016M1A</t>
  </si>
  <si>
    <t>LBC13L54527016M1A</t>
  </si>
  <si>
    <t>145*45*30</t>
  </si>
  <si>
    <t>2700*170*130 2480*170*130</t>
  </si>
  <si>
    <t>2700*170*130
2480*170*130</t>
  </si>
  <si>
    <t>4100*170*130
2480*170*130</t>
  </si>
  <si>
    <t>1350*160*5</t>
  </si>
  <si>
    <t>250*250*250</t>
  </si>
  <si>
    <t>Kit 2 Feet base for PERGOSOLAR</t>
  </si>
  <si>
    <t>Kit 2-Grundplatten</t>
  </si>
  <si>
    <t>Seitliche Verbindung (mit Blick auf die Module auf der rechten und linken Seite)</t>
  </si>
  <si>
    <t>Side Assembly</t>
  </si>
  <si>
    <t>Option feststehende Claustra</t>
  </si>
  <si>
    <t>Option gleitende Claustra</t>
  </si>
  <si>
    <t>Option Einbausockel</t>
  </si>
  <si>
    <t>Länge des Claustras</t>
  </si>
  <si>
    <t>Anzahl der Claustras</t>
  </si>
  <si>
    <t xml:space="preserve">FESTSTEHENDE CLAUSTRA </t>
  </si>
  <si>
    <t xml:space="preserve">GLEITENDE CLAUSTRA </t>
  </si>
  <si>
    <t>VERBINDUNG</t>
  </si>
  <si>
    <t>Kit 2-Einbausockel 7016 MATT GRAU</t>
  </si>
  <si>
    <t>Kit 2-Einbausockel 9010 GLANZWEISS</t>
  </si>
  <si>
    <t xml:space="preserve">VERTICAL SCREEN l2679*2400  7016MAT, Mermet satiné 5500-0201
RS SMART 100, FAHER ONE engine + 1 switch </t>
  </si>
  <si>
    <t xml:space="preserve">VERTICAL SCREEN l2679*2400 9010, Mermet satiné 5500-0201
RS SMART 100, FAHER ONE engine + 1 switch </t>
  </si>
  <si>
    <t xml:space="preserve">VERTICAL SCREEN l2829*2400  7016MAT, Mermet satiné 5500-0201
RS SMART 100, FAHER ONE engine + 1 switch </t>
  </si>
  <si>
    <t xml:space="preserve">VERTICAL SCREEN l2829*2400 9010, Mermet satiné 5500-0201
RS SMART 100, FAHER ONE engine + 1 switch </t>
  </si>
  <si>
    <t xml:space="preserve">VERTICAL SCREEN l3574*2400  7016MAT, Mermet satiné 5500-0201
RS SMART 100, FAHER ONE engine + 1 switch </t>
  </si>
  <si>
    <t xml:space="preserve">VERTICAL SCREEN l3574*2400 9010, Mermet satiné 5500-0201
RS SMART 100, FAHER ONE engine + 1 switch </t>
  </si>
  <si>
    <t xml:space="preserve">VERTICAL SCREEN l3997*2400  7016MAT, Mermet satiné 5500-0201
RS SMART 100, FAHER ONE engine + 1 switch </t>
  </si>
  <si>
    <t xml:space="preserve">VERTICAL SCREEN l3997*2400 9010, Mermet satiné 5500-0201
RS SMART 100, FAHER ONE engine + 1 switch </t>
  </si>
  <si>
    <t xml:space="preserve">VERTICAL SCREEN l4147*2400  7016MAT, Mermet satiné 5500-0201
RS SMART 100, FAHER ONE engine + 1 switch </t>
  </si>
  <si>
    <t xml:space="preserve">VERTICAL SCREEN l4147*2400 9010, Mermet satiné 5500-0201
RS SMART 100, FAHER ONE engine + 1 switch </t>
  </si>
  <si>
    <t xml:space="preserve">VERTICAL SCREEN l5315*2400  7016MAT, Mermet satiné 5500-0201
RS SMART 100, FAHER ONE engine + 1 switch </t>
  </si>
  <si>
    <t xml:space="preserve">VERTICAL SCREEN l5315*2400 9010, Mermet satiné 5500-0201
RS SMART 100, FAHER ONE engine + 1 switch </t>
  </si>
  <si>
    <t xml:space="preserve">VERTICAL SCREEN l5374*2400  7016MAT, Mermet satiné 5500-0201
RS SMART 100, FAHER ONE engine + 1 switch </t>
  </si>
  <si>
    <t xml:space="preserve">VERTICAL SCREEN l5374*2400 9010, Mermet satiné 5500-0201
RS SMART 100, FAHER ONE engine + 1 switch </t>
  </si>
  <si>
    <t xml:space="preserve">VERTICAL SCREEN l5465*2400  7016MAT, Mermet satiné 5500-0201
RS SMART 100, FAHER ONE engine + 1 switch </t>
  </si>
  <si>
    <t xml:space="preserve">VERTICAL SCREEN l5465*2400 9010, Mermet satiné 5500-0201
RS SMART 100, FAHER ONE engine + 1 switch </t>
  </si>
  <si>
    <t xml:space="preserve">AUβENBLENDE l2679*2400  7016MAT, Mermet satiné 5500-0201
RS SMART 100, FAHER ONE engine + 1 switch </t>
  </si>
  <si>
    <t xml:space="preserve">AUβENBLENDE l2679*2400 9010, Mermet satiné 5500-0201
RS SMART 100, FAHER ONE engine + 1 switch </t>
  </si>
  <si>
    <t xml:space="preserve">AUβENBLENDE l2829*2400  7016MAT, Mermet satiné 5500-0201
RS SMART 100, FAHER ONE engine + 1 switch </t>
  </si>
  <si>
    <t xml:space="preserve">AUβENBLENDE l2829*2400 9010, Mermet satiné 5500-0201
RS SMART 100, FAHER ONE engine + 1 switch </t>
  </si>
  <si>
    <t xml:space="preserve">AUβENBLENDE l3574*2400  7016MAT, Mermet satiné 5500-0201
RS SMART 100, FAHER ONE engine + 1 switch </t>
  </si>
  <si>
    <t xml:space="preserve">AUβENBLENDE l3574*2400 9010, Mermet satiné 5500-0201
RS SMART 100, FAHER ONE engine + 1 switch </t>
  </si>
  <si>
    <t xml:space="preserve">AUβENBLENDE l3997*2400  7016MAT, Mermet satiné 5500-0201
RS SMART 100, FAHER ONE engine + 1 switch </t>
  </si>
  <si>
    <t xml:space="preserve">AUβENBLENDE l3997*2400 9010, Mermet satiné 5500-0201
RS SMART 100, FAHER ONE engine + 1 switch </t>
  </si>
  <si>
    <t xml:space="preserve">AUβENBLENDE l4147*2400  7016MAT, Mermet satiné 5500-0201
RS SMART 100, FAHER ONE engine + 1 switch </t>
  </si>
  <si>
    <t xml:space="preserve">AUβENBLENDE l4147*2400 9010, Mermet satiné 5500-0201
RS SMART 100, FAHER ONE engine + 1 switch </t>
  </si>
  <si>
    <t xml:space="preserve">AUβENBLENDE l5315*2400  7016MAT, Mermet satiné 5500-0201
RS SMART 100, FAHER ONE engine + 1 switch </t>
  </si>
  <si>
    <t xml:space="preserve">AUβENBLENDE l5315*2400 9010, Mermet satiné 5500-0201
RS SMART 100, FAHER ONE engine + 1 switch </t>
  </si>
  <si>
    <t xml:space="preserve">AUβENBLENDE l5374*2400  7016MAT, Mermet satiné 5500-0201
RS SMART 100, FAHER ONE engine + 1 switch </t>
  </si>
  <si>
    <t xml:space="preserve">AUβENBLENDE l5374*2400 9010, Mermet satiné 5500-0201
RS SMART 100, FAHER ONE engine + 1 switch </t>
  </si>
  <si>
    <t xml:space="preserve">AUβENBLENDE l5465*2400  7016MAT, Mermet satiné 5500-0201
RS SMART 100, FAHER ONE engine + 1 switch </t>
  </si>
  <si>
    <t xml:space="preserve">AUβENBLENDE l5465*2400 9010, Mermet satiné 5500-0201
RS SMART 100, FAHER ONE engine + 1 switch </t>
  </si>
  <si>
    <t>VERBINDUNGSKIT 7016 MATT GRAU</t>
  </si>
  <si>
    <t>VERBINDUNGSKIT 9010 GLANZWEISS</t>
  </si>
  <si>
    <t>GLEITENDE CLAUSTRA 1M 7016 GRAU MATT</t>
  </si>
  <si>
    <t>GLEITENDE CLAUSTRA 2M 7016 GRAU MATT</t>
  </si>
  <si>
    <t>FESTSTEHENDE CLAUSTRA 1M 7016 GRAU MATT</t>
  </si>
  <si>
    <t>FESTSTEHENDE CLAUSTRA 2M 7016 GRAU MATT</t>
  </si>
  <si>
    <t>Fussversetzungssatz  + Abwasserführung (gilt für 2 Pfosten)</t>
  </si>
  <si>
    <t>Fussversetzungssatz + Abwasserungskit</t>
  </si>
  <si>
    <t>PGSTAN7016M1C</t>
  </si>
  <si>
    <t>Version 3.3</t>
  </si>
  <si>
    <t>Option Screen latéral*</t>
  </si>
  <si>
    <t>Option side screen*</t>
  </si>
  <si>
    <t>Option seitlicher Aussenblende*</t>
  </si>
  <si>
    <t>Option vorner oder hinterer Aussenblende*</t>
  </si>
  <si>
    <t>Option front or rear side screen*</t>
  </si>
  <si>
    <t>Option Screen avant ou arrièrre*</t>
  </si>
  <si>
    <r>
      <t xml:space="preserve">* SCREEN ATTENTION : La notion de "latéral" ou "avant/arrière" s'applique pour une pose classique de la pergola </t>
    </r>
    <r>
      <rPr>
        <u/>
        <sz val="11"/>
        <color theme="1"/>
        <rFont val="Calibri"/>
        <family val="2"/>
        <scheme val="minor"/>
      </rPr>
      <t>soit sur ilot</t>
    </r>
    <r>
      <rPr>
        <sz val="11"/>
        <color theme="1"/>
        <rFont val="Calibri"/>
        <family val="2"/>
        <scheme val="minor"/>
      </rPr>
      <t xml:space="preserve">, </t>
    </r>
    <r>
      <rPr>
        <u/>
        <sz val="11"/>
        <color theme="1"/>
        <rFont val="Calibri"/>
        <family val="2"/>
        <scheme val="minor"/>
      </rPr>
      <t>soit accolée à la façade avec les lignes photovoltaïques et bioclimatiques parallèles à la façade d'accueil</t>
    </r>
    <r>
      <rPr>
        <sz val="11"/>
        <color theme="1"/>
        <rFont val="Calibri"/>
        <family val="2"/>
        <scheme val="minor"/>
      </rPr>
      <t xml:space="preserve">, et </t>
    </r>
    <r>
      <rPr>
        <u/>
        <sz val="11"/>
        <color theme="1"/>
        <rFont val="Calibri"/>
        <family val="2"/>
        <scheme val="minor"/>
      </rPr>
      <t>sans jumelage</t>
    </r>
    <r>
      <rPr>
        <sz val="11"/>
        <color theme="1"/>
        <rFont val="Calibri"/>
        <family val="2"/>
        <scheme val="minor"/>
      </rPr>
      <t>.
Dans les autres cas : pergola accolée à la façade avec ses lignes de toiture perpendiculaires à la façade d'accueil, ou avec jumelage, MERCI DE CONTACTER NOTRE SERVICE TECHNICO-COMMERCIAL AFIN DE DETERMINER LES REFERENCES DE STORES ADEQUATES.</t>
    </r>
  </si>
  <si>
    <t>* SCREEN ATTENTION: "side", "front" or "rear" are meaningful for usual implentations of pergola either free standing, or wall mounted with photovoltaic and bioclimatic lines parallel to the supporting wall, and without junctions.
In the case of a pergola wall mounted with its roof lines perpendicular to the supporting wall, or with junctions, PLEASE CONTACT OUR TECHNICAL SALES DEPARTMENT TO DETERMINE THE CORRECT REFERENCE OF SCREENS.</t>
  </si>
  <si>
    <t>PGOVS2XP7016M1A</t>
  </si>
  <si>
    <t>PGOVS2XP90101A</t>
  </si>
  <si>
    <t>PGOVS3XP7016M1A</t>
  </si>
  <si>
    <t>PGOVS3XP90101A</t>
  </si>
  <si>
    <t>VERTICAL SCREEN l3524 7016MAT 201</t>
  </si>
  <si>
    <t>VERTICAL SCREEN l3524 9010GLO 201</t>
  </si>
  <si>
    <r>
      <t>AU</t>
    </r>
    <r>
      <rPr>
        <sz val="11"/>
        <color theme="1"/>
        <rFont val="Calibri"/>
        <family val="2"/>
      </rPr>
      <t>βENBLENDE</t>
    </r>
    <r>
      <rPr>
        <sz val="11"/>
        <color theme="1"/>
        <rFont val="Calibri"/>
        <family val="2"/>
        <scheme val="minor"/>
      </rPr>
      <t xml:space="preserve"> L. 3524 7016 MATT GRAU 201</t>
    </r>
  </si>
  <si>
    <t>AUβENBLENDE L. 3524 9010 GLANZWEISS 201</t>
  </si>
  <si>
    <t>VERTICAL SCREEN l5224 7016MAT 201</t>
  </si>
  <si>
    <t>VERTICAL SCREEN l5224 9010GLO 201</t>
  </si>
  <si>
    <r>
      <t>AU</t>
    </r>
    <r>
      <rPr>
        <sz val="11"/>
        <color theme="1"/>
        <rFont val="Calibri"/>
        <family val="2"/>
      </rPr>
      <t>βENBLENDE</t>
    </r>
    <r>
      <rPr>
        <sz val="11"/>
        <color theme="1"/>
        <rFont val="Calibri"/>
        <family val="2"/>
        <scheme val="minor"/>
      </rPr>
      <t xml:space="preserve"> L. 5224 7016 MATT GRAU 201</t>
    </r>
  </si>
  <si>
    <t>AUβENBLENDE L. 5224 9010 GLANZWEISS 201</t>
  </si>
  <si>
    <t>STORE VERTICAL l3524 9010BRI
Mermet satiné 5500-0201</t>
  </si>
  <si>
    <t>STORE VERTICAL l5224 9010BRI
Mermet satiné 5500-0201</t>
  </si>
  <si>
    <t>Manual entry</t>
  </si>
  <si>
    <t>Entrée manuelle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</si>
</sst>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"/>
    <numFmt numFmtId="166" formatCode="0.0"/>
    <numFmt numFmtId="167" formatCode="#,##0&quot;  mm&quot;"/>
    <numFmt numFmtId="168" formatCode="&quot;longueur &quot;#,##0&quot;   mm&quot;"/>
    <numFmt numFmtId="169" formatCode="&quot;Soit &quot;#,##0&quot;  pieds&quot;"/>
    <numFmt numFmtId="170" formatCode="&quot;Soit &quot;#,##0&quot; Equerres de fixations&quot;"/>
    <numFmt numFmtId="171" formatCode="#,##0&quot;  Wc&quot;"/>
    <numFmt numFmtId="172" formatCode="#0&quot;  Pa&quot;"/>
    <numFmt numFmtId="173" formatCode="#,##0&quot;  mm Maxi&quot;"/>
    <numFmt numFmtId="174" formatCode="&quot;Soit &quot;#0"/>
    <numFmt numFmtId="175" formatCode="&quot;P &quot;#,##0&quot; mm &quot;"/>
    <numFmt numFmtId="176" formatCode="&quot;L &quot;#,##0&quot;  mm &quot;"/>
    <numFmt numFmtId="177" formatCode="&quot;h &quot;#,##0&quot;  mm Maxi&quot;"/>
    <numFmt numFmtId="178" formatCode="#,##0&quot; m² &quot;"/>
    <numFmt numFmtId="179" formatCode="#,##0.0&quot;  kWc&quot;"/>
    <numFmt numFmtId="180" formatCode="&quot;Soit &quot;#,##0&quot; Equerres&quot;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sz val="18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u val="double"/>
      <sz val="22"/>
      <color theme="1"/>
      <name val="Calibri"/>
      <family val="2"/>
      <scheme val="minor"/>
    </font>
    <font>
      <b/>
      <u val="double"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omic Sans MS"/>
      <family val="4"/>
    </font>
    <font>
      <sz val="10"/>
      <color rgb="FF000000"/>
      <name val="Comic Sans MS"/>
      <family val="4"/>
    </font>
    <font>
      <u/>
      <sz val="11"/>
      <color rgb="FF000000"/>
      <name val="Comic Sans MS"/>
      <family val="4"/>
    </font>
    <font>
      <b/>
      <u/>
      <sz val="11"/>
      <color rgb="FF000000"/>
      <name val="Comic Sans MS"/>
      <family val="4"/>
    </font>
    <font>
      <b/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Tahoma"/>
      <family val="2"/>
    </font>
    <font>
      <sz val="8"/>
      <name val="Tahoma"/>
      <family val="2"/>
    </font>
    <font>
      <sz val="10"/>
      <name val="Tahoma"/>
      <family val="2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name val="Adobe Heiti Std R"/>
      <family val="2"/>
      <charset val="128"/>
    </font>
    <font>
      <sz val="11"/>
      <color theme="1"/>
      <name val="Adobe Heiti Std R"/>
      <family val="2"/>
      <charset val="128"/>
    </font>
    <font>
      <sz val="11"/>
      <name val="Adobe Heiti Std R"/>
      <family val="2"/>
      <charset val="128"/>
    </font>
    <font>
      <sz val="10"/>
      <color theme="0" tint="-0.499984740745262"/>
      <name val="Adobe Heiti Std R"/>
      <family val="2"/>
      <charset val="128"/>
    </font>
    <font>
      <i/>
      <sz val="14"/>
      <color theme="1"/>
      <name val="Calibri"/>
      <family val="2"/>
      <scheme val="minor"/>
    </font>
    <font>
      <sz val="11"/>
      <color rgb="FF000000"/>
      <name val="Adobe Heiti Std R"/>
      <family val="2"/>
      <charset val="128"/>
    </font>
    <font>
      <sz val="16"/>
      <color rgb="FFFF000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dobe Heiti Std R"/>
      <family val="2"/>
      <charset val="128"/>
    </font>
    <font>
      <b/>
      <sz val="10"/>
      <color theme="1"/>
      <name val="Adobe Heiti Std R"/>
      <family val="2"/>
      <charset val="128"/>
    </font>
    <font>
      <sz val="12"/>
      <color theme="1"/>
      <name val="Adobe Heiti Std R"/>
      <family val="2"/>
      <charset val="128"/>
    </font>
    <font>
      <b/>
      <i/>
      <sz val="12"/>
      <name val="Calibri"/>
      <family val="2"/>
      <scheme val="minor"/>
    </font>
    <font>
      <b/>
      <i/>
      <sz val="8"/>
      <name val="Calibri"/>
      <family val="2"/>
      <scheme val="minor"/>
    </font>
    <font>
      <i/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C0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06F6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4E62C"/>
        <bgColor indexed="64"/>
      </patternFill>
    </fill>
    <fill>
      <patternFill patternType="solid">
        <fgColor rgb="FFF4993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</fills>
  <borders count="118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84" fillId="0" borderId="0" applyNumberFormat="0" applyFill="0" applyBorder="0" applyAlignment="0" applyProtection="0"/>
  </cellStyleXfs>
  <cellXfs count="859">
    <xf numFmtId="0" fontId="0" fillId="0" borderId="0" xfId="0"/>
    <xf numFmtId="0" fontId="0" fillId="5" borderId="0" xfId="0" applyFill="1"/>
    <xf numFmtId="0" fontId="0" fillId="3" borderId="0" xfId="0" applyFill="1"/>
    <xf numFmtId="0" fontId="7" fillId="3" borderId="0" xfId="0" applyFont="1" applyFill="1" applyAlignment="1">
      <alignment horizontal="center"/>
    </xf>
    <xf numFmtId="0" fontId="6" fillId="3" borderId="0" xfId="0" applyFont="1" applyFill="1"/>
    <xf numFmtId="0" fontId="3" fillId="4" borderId="3" xfId="0" applyFont="1" applyFill="1" applyBorder="1"/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horizontal="center"/>
    </xf>
    <xf numFmtId="44" fontId="5" fillId="6" borderId="1" xfId="1" applyFont="1" applyFill="1" applyBorder="1"/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44" fontId="5" fillId="3" borderId="1" xfId="1" applyFont="1" applyFill="1" applyBorder="1"/>
    <xf numFmtId="0" fontId="2" fillId="3" borderId="0" xfId="0" applyFont="1" applyFill="1"/>
    <xf numFmtId="0" fontId="5" fillId="3" borderId="1" xfId="0" applyFont="1" applyFill="1" applyBorder="1"/>
    <xf numFmtId="0" fontId="3" fillId="4" borderId="1" xfId="0" applyFont="1" applyFill="1" applyBorder="1"/>
    <xf numFmtId="0" fontId="5" fillId="3" borderId="6" xfId="0" applyFont="1" applyFill="1" applyBorder="1"/>
    <xf numFmtId="0" fontId="3" fillId="4" borderId="6" xfId="0" applyFont="1" applyFill="1" applyBorder="1"/>
    <xf numFmtId="0" fontId="0" fillId="3" borderId="9" xfId="0" applyFill="1" applyBorder="1"/>
    <xf numFmtId="44" fontId="0" fillId="3" borderId="0" xfId="0" applyNumberFormat="1" applyFill="1"/>
    <xf numFmtId="9" fontId="5" fillId="2" borderId="6" xfId="0" applyNumberFormat="1" applyFont="1" applyFill="1" applyBorder="1" applyProtection="1">
      <protection locked="0"/>
    </xf>
    <xf numFmtId="0" fontId="0" fillId="0" borderId="10" xfId="0" applyBorder="1"/>
    <xf numFmtId="0" fontId="9" fillId="0" borderId="10" xfId="0" applyFont="1" applyBorder="1"/>
    <xf numFmtId="0" fontId="9" fillId="3" borderId="10" xfId="0" applyFont="1" applyFill="1" applyBorder="1"/>
    <xf numFmtId="0" fontId="9" fillId="0" borderId="10" xfId="2" applyFont="1" applyBorder="1"/>
    <xf numFmtId="0" fontId="9" fillId="0" borderId="11" xfId="0" applyFont="1" applyBorder="1"/>
    <xf numFmtId="0" fontId="0" fillId="0" borderId="11" xfId="0" applyBorder="1"/>
    <xf numFmtId="0" fontId="0" fillId="0" borderId="13" xfId="0" applyBorder="1"/>
    <xf numFmtId="0" fontId="0" fillId="3" borderId="10" xfId="0" applyFill="1" applyBorder="1"/>
    <xf numFmtId="0" fontId="0" fillId="0" borderId="15" xfId="0" applyBorder="1"/>
    <xf numFmtId="0" fontId="9" fillId="0" borderId="10" xfId="0" applyFont="1" applyBorder="1" applyAlignment="1">
      <alignment horizontal="left"/>
    </xf>
    <xf numFmtId="0" fontId="0" fillId="3" borderId="0" xfId="0" applyFill="1" applyAlignment="1">
      <alignment vertical="center" wrapText="1"/>
    </xf>
    <xf numFmtId="0" fontId="0" fillId="3" borderId="18" xfId="0" applyFill="1" applyBorder="1"/>
    <xf numFmtId="0" fontId="0" fillId="3" borderId="19" xfId="0" applyFill="1" applyBorder="1"/>
    <xf numFmtId="0" fontId="0" fillId="0" borderId="20" xfId="0" applyBorder="1"/>
    <xf numFmtId="0" fontId="0" fillId="0" borderId="21" xfId="0" applyBorder="1"/>
    <xf numFmtId="0" fontId="0" fillId="0" borderId="16" xfId="0" applyBorder="1"/>
    <xf numFmtId="0" fontId="0" fillId="0" borderId="22" xfId="0" applyBorder="1"/>
    <xf numFmtId="0" fontId="0" fillId="0" borderId="18" xfId="0" applyBorder="1"/>
    <xf numFmtId="0" fontId="0" fillId="3" borderId="26" xfId="0" applyFill="1" applyBorder="1"/>
    <xf numFmtId="0" fontId="5" fillId="6" borderId="8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5" fillId="3" borderId="24" xfId="0" applyFont="1" applyFill="1" applyBorder="1"/>
    <xf numFmtId="0" fontId="5" fillId="6" borderId="4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0" fontId="5" fillId="3" borderId="4" xfId="0" applyFont="1" applyFill="1" applyBorder="1"/>
    <xf numFmtId="0" fontId="5" fillId="3" borderId="5" xfId="0" applyFont="1" applyFill="1" applyBorder="1"/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164" fontId="0" fillId="3" borderId="0" xfId="3" applyFont="1" applyFill="1"/>
    <xf numFmtId="0" fontId="0" fillId="3" borderId="27" xfId="0" applyFill="1" applyBorder="1"/>
    <xf numFmtId="0" fontId="3" fillId="4" borderId="3" xfId="0" applyFont="1" applyFill="1" applyBorder="1" applyAlignment="1">
      <alignment wrapText="1"/>
    </xf>
    <xf numFmtId="0" fontId="3" fillId="4" borderId="3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44" fontId="14" fillId="3" borderId="1" xfId="1" applyFont="1" applyFill="1" applyBorder="1" applyAlignment="1">
      <alignment horizontal="center"/>
    </xf>
    <xf numFmtId="44" fontId="14" fillId="3" borderId="6" xfId="1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/>
    </xf>
    <xf numFmtId="0" fontId="0" fillId="3" borderId="0" xfId="0" applyFill="1" applyAlignment="1" applyProtection="1">
      <alignment horizontal="center"/>
      <protection locked="0"/>
    </xf>
    <xf numFmtId="0" fontId="16" fillId="3" borderId="0" xfId="0" applyFont="1" applyFill="1" applyAlignment="1" applyProtection="1">
      <alignment horizontal="left"/>
      <protection locked="0"/>
    </xf>
    <xf numFmtId="0" fontId="16" fillId="3" borderId="0" xfId="0" applyFont="1" applyFill="1" applyAlignment="1">
      <alignment horizontal="left"/>
    </xf>
    <xf numFmtId="0" fontId="5" fillId="2" borderId="1" xfId="0" applyFont="1" applyFill="1" applyBorder="1" applyAlignment="1" applyProtection="1">
      <alignment horizontal="center"/>
      <protection locked="0"/>
    </xf>
    <xf numFmtId="44" fontId="5" fillId="3" borderId="6" xfId="1" applyFont="1" applyFill="1" applyBorder="1"/>
    <xf numFmtId="0" fontId="7" fillId="5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5" fillId="3" borderId="1" xfId="0" applyFont="1" applyFill="1" applyBorder="1" applyAlignment="1" applyProtection="1">
      <alignment horizontal="center"/>
      <protection locked="0"/>
    </xf>
    <xf numFmtId="0" fontId="5" fillId="7" borderId="4" xfId="0" applyFont="1" applyFill="1" applyBorder="1" applyAlignment="1">
      <alignment horizontal="left"/>
    </xf>
    <xf numFmtId="0" fontId="5" fillId="7" borderId="8" xfId="0" applyFont="1" applyFill="1" applyBorder="1" applyAlignment="1">
      <alignment horizontal="left"/>
    </xf>
    <xf numFmtId="0" fontId="5" fillId="7" borderId="1" xfId="0" applyFont="1" applyFill="1" applyBorder="1" applyAlignment="1">
      <alignment horizontal="left"/>
    </xf>
    <xf numFmtId="0" fontId="5" fillId="7" borderId="1" xfId="0" applyFont="1" applyFill="1" applyBorder="1" applyAlignment="1">
      <alignment horizontal="center"/>
    </xf>
    <xf numFmtId="0" fontId="2" fillId="0" borderId="0" xfId="0" applyFont="1"/>
    <xf numFmtId="0" fontId="0" fillId="0" borderId="29" xfId="0" applyBorder="1"/>
    <xf numFmtId="0" fontId="0" fillId="0" borderId="25" xfId="0" applyBorder="1"/>
    <xf numFmtId="0" fontId="0" fillId="0" borderId="17" xfId="0" applyBorder="1"/>
    <xf numFmtId="0" fontId="20" fillId="0" borderId="0" xfId="0" applyFont="1"/>
    <xf numFmtId="0" fontId="0" fillId="0" borderId="23" xfId="0" applyBorder="1"/>
    <xf numFmtId="0" fontId="21" fillId="0" borderId="22" xfId="0" applyFont="1" applyBorder="1"/>
    <xf numFmtId="0" fontId="15" fillId="3" borderId="22" xfId="0" applyFont="1" applyFill="1" applyBorder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0" borderId="26" xfId="0" applyBorder="1"/>
    <xf numFmtId="0" fontId="0" fillId="0" borderId="19" xfId="0" applyBorder="1"/>
    <xf numFmtId="0" fontId="22" fillId="0" borderId="22" xfId="0" applyFont="1" applyBorder="1" applyAlignment="1">
      <alignment horizontal="left" wrapText="1"/>
    </xf>
    <xf numFmtId="0" fontId="22" fillId="0" borderId="0" xfId="0" applyFont="1" applyAlignment="1">
      <alignment horizontal="left" wrapText="1"/>
    </xf>
    <xf numFmtId="0" fontId="22" fillId="0" borderId="23" xfId="0" applyFont="1" applyBorder="1" applyAlignment="1">
      <alignment horizontal="left" wrapText="1"/>
    </xf>
    <xf numFmtId="0" fontId="0" fillId="0" borderId="0" xfId="0" applyAlignment="1">
      <alignment wrapText="1"/>
    </xf>
    <xf numFmtId="0" fontId="0" fillId="3" borderId="0" xfId="0" applyFill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vertical="center" wrapText="1" readingOrder="1"/>
    </xf>
    <xf numFmtId="0" fontId="0" fillId="0" borderId="10" xfId="0" applyBorder="1" applyAlignment="1">
      <alignment vertical="center" readingOrder="1"/>
    </xf>
    <xf numFmtId="0" fontId="0" fillId="0" borderId="10" xfId="0" applyBorder="1" applyAlignment="1">
      <alignment horizontal="left" wrapText="1" readingOrder="1"/>
    </xf>
    <xf numFmtId="0" fontId="26" fillId="3" borderId="40" xfId="0" applyFont="1" applyFill="1" applyBorder="1" applyAlignment="1">
      <alignment horizontal="center" vertical="center"/>
    </xf>
    <xf numFmtId="0" fontId="26" fillId="3" borderId="36" xfId="0" applyFont="1" applyFill="1" applyBorder="1" applyAlignment="1">
      <alignment horizontal="left" vertical="center"/>
    </xf>
    <xf numFmtId="0" fontId="27" fillId="3" borderId="33" xfId="0" applyFont="1" applyFill="1" applyBorder="1" applyAlignment="1">
      <alignment horizontal="right" vertical="center"/>
    </xf>
    <xf numFmtId="0" fontId="27" fillId="3" borderId="35" xfId="0" applyFont="1" applyFill="1" applyBorder="1" applyAlignment="1">
      <alignment horizontal="right" vertical="center"/>
    </xf>
    <xf numFmtId="0" fontId="26" fillId="3" borderId="40" xfId="0" applyFont="1" applyFill="1" applyBorder="1" applyAlignment="1">
      <alignment horizontal="left" vertical="center"/>
    </xf>
    <xf numFmtId="0" fontId="26" fillId="3" borderId="33" xfId="0" applyFont="1" applyFill="1" applyBorder="1" applyAlignment="1">
      <alignment horizontal="left" vertical="center"/>
    </xf>
    <xf numFmtId="0" fontId="26" fillId="3" borderId="3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42" xfId="0" applyBorder="1" applyAlignment="1">
      <alignment horizontal="center"/>
    </xf>
    <xf numFmtId="0" fontId="28" fillId="3" borderId="0" xfId="0" applyFont="1" applyFill="1" applyAlignment="1" applyProtection="1">
      <alignment horizontal="center" wrapText="1"/>
      <protection locked="0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0" xfId="0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24" fillId="11" borderId="10" xfId="0" applyFont="1" applyFill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0" fillId="9" borderId="46" xfId="0" applyFill="1" applyBorder="1" applyAlignment="1">
      <alignment horizontal="center" vertical="center"/>
    </xf>
    <xf numFmtId="0" fontId="0" fillId="10" borderId="45" xfId="0" applyFill="1" applyBorder="1" applyAlignment="1">
      <alignment horizontal="center" vertical="center"/>
    </xf>
    <xf numFmtId="0" fontId="24" fillId="0" borderId="0" xfId="0" applyFont="1" applyAlignment="1">
      <alignment wrapText="1"/>
    </xf>
    <xf numFmtId="0" fontId="32" fillId="11" borderId="10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31" fillId="11" borderId="10" xfId="0" applyFont="1" applyFill="1" applyBorder="1" applyAlignment="1">
      <alignment horizontal="center" vertical="center"/>
    </xf>
    <xf numFmtId="0" fontId="0" fillId="11" borderId="44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4" fillId="0" borderId="0" xfId="0" applyFont="1" applyAlignment="1">
      <alignment vertical="center" wrapText="1"/>
    </xf>
    <xf numFmtId="0" fontId="35" fillId="0" borderId="47" xfId="0" applyFont="1" applyBorder="1"/>
    <xf numFmtId="1" fontId="0" fillId="0" borderId="0" xfId="0" applyNumberFormat="1" applyAlignment="1">
      <alignment horizontal="center"/>
    </xf>
    <xf numFmtId="0" fontId="35" fillId="0" borderId="7" xfId="0" applyFont="1" applyBorder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7" xfId="0" applyFont="1" applyBorder="1" applyAlignment="1">
      <alignment vertical="center" wrapText="1"/>
    </xf>
    <xf numFmtId="0" fontId="35" fillId="0" borderId="50" xfId="0" applyFont="1" applyBorder="1" applyAlignment="1">
      <alignment horizontal="center"/>
    </xf>
    <xf numFmtId="0" fontId="37" fillId="0" borderId="50" xfId="0" applyFont="1" applyBorder="1" applyAlignment="1">
      <alignment vertical="center" wrapText="1"/>
    </xf>
    <xf numFmtId="0" fontId="0" fillId="0" borderId="52" xfId="0" applyBorder="1" applyAlignment="1">
      <alignment horizontal="center"/>
    </xf>
    <xf numFmtId="1" fontId="0" fillId="0" borderId="48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1" fontId="9" fillId="3" borderId="2" xfId="0" applyNumberFormat="1" applyFont="1" applyFill="1" applyBorder="1" applyAlignment="1">
      <alignment horizontal="center"/>
    </xf>
    <xf numFmtId="1" fontId="9" fillId="3" borderId="28" xfId="0" applyNumberFormat="1" applyFont="1" applyFill="1" applyBorder="1" applyAlignment="1">
      <alignment horizontal="center"/>
    </xf>
    <xf numFmtId="1" fontId="9" fillId="3" borderId="7" xfId="0" applyNumberFormat="1" applyFont="1" applyFill="1" applyBorder="1" applyAlignment="1">
      <alignment horizontal="center"/>
    </xf>
    <xf numFmtId="1" fontId="9" fillId="3" borderId="0" xfId="0" applyNumberFormat="1" applyFont="1" applyFill="1" applyAlignment="1">
      <alignment horizontal="center"/>
    </xf>
    <xf numFmtId="1" fontId="25" fillId="3" borderId="11" xfId="0" applyNumberFormat="1" applyFont="1" applyFill="1" applyBorder="1" applyAlignment="1">
      <alignment horizontal="left"/>
    </xf>
    <xf numFmtId="1" fontId="25" fillId="3" borderId="13" xfId="0" applyNumberFormat="1" applyFont="1" applyFill="1" applyBorder="1" applyAlignment="1">
      <alignment horizontal="left"/>
    </xf>
    <xf numFmtId="2" fontId="9" fillId="3" borderId="10" xfId="0" applyNumberFormat="1" applyFont="1" applyFill="1" applyBorder="1" applyAlignment="1">
      <alignment horizontal="center"/>
    </xf>
    <xf numFmtId="1" fontId="24" fillId="0" borderId="0" xfId="0" applyNumberFormat="1" applyFont="1" applyAlignment="1">
      <alignment horizontal="left" vertical="top"/>
    </xf>
    <xf numFmtId="1" fontId="9" fillId="3" borderId="10" xfId="0" applyNumberFormat="1" applyFont="1" applyFill="1" applyBorder="1" applyAlignment="1">
      <alignment horizontal="center"/>
    </xf>
    <xf numFmtId="1" fontId="24" fillId="0" borderId="11" xfId="0" applyNumberFormat="1" applyFont="1" applyBorder="1" applyAlignment="1">
      <alignment horizontal="center" vertical="top"/>
    </xf>
    <xf numFmtId="2" fontId="24" fillId="0" borderId="11" xfId="0" applyNumberFormat="1" applyFont="1" applyBorder="1" applyAlignment="1">
      <alignment horizontal="center" vertical="top"/>
    </xf>
    <xf numFmtId="1" fontId="24" fillId="0" borderId="11" xfId="0" applyNumberFormat="1" applyFont="1" applyBorder="1" applyAlignment="1">
      <alignment horizontal="left" vertical="top"/>
    </xf>
    <xf numFmtId="2" fontId="24" fillId="0" borderId="10" xfId="0" applyNumberFormat="1" applyFont="1" applyBorder="1" applyAlignment="1">
      <alignment horizontal="center" vertical="top"/>
    </xf>
    <xf numFmtId="1" fontId="0" fillId="0" borderId="4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24" fillId="0" borderId="11" xfId="0" applyNumberFormat="1" applyFont="1" applyBorder="1" applyAlignment="1">
      <alignment horizontal="left"/>
    </xf>
    <xf numFmtId="1" fontId="24" fillId="0" borderId="13" xfId="0" applyNumberFormat="1" applyFont="1" applyBorder="1" applyAlignment="1">
      <alignment horizontal="left"/>
    </xf>
    <xf numFmtId="2" fontId="0" fillId="0" borderId="10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9" fillId="3" borderId="4" xfId="0" applyNumberFormat="1" applyFont="1" applyFill="1" applyBorder="1" applyAlignment="1">
      <alignment horizontal="center"/>
    </xf>
    <xf numFmtId="1" fontId="9" fillId="3" borderId="8" xfId="0" applyNumberFormat="1" applyFont="1" applyFill="1" applyBorder="1" applyAlignment="1">
      <alignment horizontal="center"/>
    </xf>
    <xf numFmtId="1" fontId="41" fillId="0" borderId="4" xfId="0" applyNumberFormat="1" applyFont="1" applyBorder="1" applyAlignment="1">
      <alignment vertical="top"/>
    </xf>
    <xf numFmtId="1" fontId="41" fillId="0" borderId="0" xfId="0" applyNumberFormat="1" applyFont="1" applyAlignment="1">
      <alignment vertical="top"/>
    </xf>
    <xf numFmtId="1" fontId="41" fillId="0" borderId="8" xfId="0" applyNumberFormat="1" applyFont="1" applyBorder="1" applyAlignment="1">
      <alignment vertical="top"/>
    </xf>
    <xf numFmtId="1" fontId="24" fillId="0" borderId="13" xfId="0" applyNumberFormat="1" applyFont="1" applyBorder="1" applyAlignment="1">
      <alignment horizontal="left" vertical="top"/>
    </xf>
    <xf numFmtId="2" fontId="0" fillId="0" borderId="10" xfId="0" applyNumberFormat="1" applyBorder="1" applyAlignment="1">
      <alignment horizontal="center" vertical="top"/>
    </xf>
    <xf numFmtId="1" fontId="41" fillId="0" borderId="10" xfId="0" applyNumberFormat="1" applyFont="1" applyBorder="1" applyAlignment="1">
      <alignment vertical="top"/>
    </xf>
    <xf numFmtId="166" fontId="41" fillId="0" borderId="4" xfId="0" applyNumberFormat="1" applyFont="1" applyBorder="1" applyAlignment="1">
      <alignment horizontal="center" vertical="top"/>
    </xf>
    <xf numFmtId="166" fontId="41" fillId="0" borderId="0" xfId="0" applyNumberFormat="1" applyFont="1" applyAlignment="1">
      <alignment horizontal="center" vertical="top"/>
    </xf>
    <xf numFmtId="166" fontId="41" fillId="0" borderId="8" xfId="0" applyNumberFormat="1" applyFont="1" applyBorder="1" applyAlignment="1">
      <alignment horizontal="center" vertical="top"/>
    </xf>
    <xf numFmtId="1" fontId="41" fillId="0" borderId="4" xfId="0" applyNumberFormat="1" applyFont="1" applyBorder="1" applyAlignment="1">
      <alignment horizontal="center" vertical="top"/>
    </xf>
    <xf numFmtId="1" fontId="41" fillId="0" borderId="0" xfId="0" applyNumberFormat="1" applyFont="1" applyAlignment="1">
      <alignment horizontal="center" vertical="top"/>
    </xf>
    <xf numFmtId="1" fontId="41" fillId="0" borderId="8" xfId="0" applyNumberFormat="1" applyFont="1" applyBorder="1" applyAlignment="1">
      <alignment horizontal="center" vertical="top"/>
    </xf>
    <xf numFmtId="0" fontId="0" fillId="9" borderId="10" xfId="0" applyFill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11" xfId="0" applyFont="1" applyBorder="1" applyAlignment="1">
      <alignment horizontal="left"/>
    </xf>
    <xf numFmtId="0" fontId="0" fillId="0" borderId="13" xfId="0" applyBorder="1" applyAlignment="1">
      <alignment horizontal="left"/>
    </xf>
    <xf numFmtId="2" fontId="41" fillId="0" borderId="10" xfId="0" applyNumberFormat="1" applyFont="1" applyBorder="1" applyAlignment="1">
      <alignment horizontal="center" vertical="top"/>
    </xf>
    <xf numFmtId="0" fontId="43" fillId="7" borderId="8" xfId="0" applyFont="1" applyFill="1" applyBorder="1" applyAlignment="1">
      <alignment horizontal="center"/>
    </xf>
    <xf numFmtId="1" fontId="41" fillId="0" borderId="10" xfId="0" applyNumberFormat="1" applyFont="1" applyBorder="1" applyAlignment="1">
      <alignment horizontal="center" vertical="top"/>
    </xf>
    <xf numFmtId="1" fontId="0" fillId="0" borderId="13" xfId="0" applyNumberFormat="1" applyBorder="1" applyAlignment="1">
      <alignment horizontal="left" vertical="top"/>
    </xf>
    <xf numFmtId="0" fontId="24" fillId="0" borderId="13" xfId="0" applyFont="1" applyBorder="1" applyAlignment="1">
      <alignment horizontal="left"/>
    </xf>
    <xf numFmtId="1" fontId="0" fillId="0" borderId="10" xfId="0" applyNumberFormat="1" applyBorder="1" applyAlignment="1">
      <alignment horizontal="center" vertical="top"/>
    </xf>
    <xf numFmtId="0" fontId="24" fillId="0" borderId="10" xfId="0" applyFont="1" applyBorder="1" applyAlignment="1">
      <alignment horizontal="center"/>
    </xf>
    <xf numFmtId="0" fontId="4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6" fillId="0" borderId="0" xfId="0" applyFont="1" applyAlignment="1">
      <alignment vertical="center" wrapText="1"/>
    </xf>
    <xf numFmtId="0" fontId="46" fillId="0" borderId="8" xfId="0" applyFont="1" applyBorder="1" applyAlignment="1">
      <alignment vertical="center" wrapText="1"/>
    </xf>
    <xf numFmtId="0" fontId="46" fillId="0" borderId="4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4" fillId="0" borderId="29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0" fontId="24" fillId="0" borderId="49" xfId="0" applyFont="1" applyBorder="1" applyAlignment="1">
      <alignment vertical="center" wrapText="1"/>
    </xf>
    <xf numFmtId="0" fontId="47" fillId="0" borderId="8" xfId="0" applyFont="1" applyBorder="1" applyAlignment="1">
      <alignment vertical="center" wrapText="1"/>
    </xf>
    <xf numFmtId="0" fontId="47" fillId="0" borderId="4" xfId="0" applyFont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48" fillId="0" borderId="12" xfId="0" applyFont="1" applyBorder="1" applyAlignment="1">
      <alignment vertical="center" wrapText="1"/>
    </xf>
    <xf numFmtId="0" fontId="48" fillId="0" borderId="47" xfId="0" applyFont="1" applyBorder="1" applyAlignment="1">
      <alignment vertical="center" wrapText="1"/>
    </xf>
    <xf numFmtId="0" fontId="48" fillId="0" borderId="14" xfId="0" applyFont="1" applyBorder="1" applyAlignment="1">
      <alignment vertical="center" wrapText="1"/>
    </xf>
    <xf numFmtId="0" fontId="49" fillId="0" borderId="10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 wrapText="1"/>
    </xf>
    <xf numFmtId="0" fontId="45" fillId="0" borderId="8" xfId="0" applyFont="1" applyBorder="1" applyAlignment="1">
      <alignment vertical="center" wrapText="1"/>
    </xf>
    <xf numFmtId="0" fontId="45" fillId="0" borderId="4" xfId="0" applyFont="1" applyBorder="1" applyAlignment="1">
      <alignment vertical="center" wrapText="1"/>
    </xf>
    <xf numFmtId="0" fontId="50" fillId="0" borderId="10" xfId="0" applyFont="1" applyBorder="1" applyAlignment="1">
      <alignment horizontal="center"/>
    </xf>
    <xf numFmtId="0" fontId="41" fillId="0" borderId="4" xfId="0" applyFont="1" applyBorder="1"/>
    <xf numFmtId="2" fontId="43" fillId="7" borderId="0" xfId="0" applyNumberFormat="1" applyFont="1" applyFill="1" applyAlignment="1">
      <alignment horizontal="center"/>
    </xf>
    <xf numFmtId="0" fontId="24" fillId="0" borderId="24" xfId="0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0" fontId="24" fillId="0" borderId="45" xfId="0" applyFont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15" borderId="10" xfId="0" applyFill="1" applyBorder="1" applyAlignment="1">
      <alignment horizontal="center"/>
    </xf>
    <xf numFmtId="0" fontId="35" fillId="15" borderId="10" xfId="0" applyFont="1" applyFill="1" applyBorder="1" applyAlignment="1">
      <alignment horizontal="center"/>
    </xf>
    <xf numFmtId="2" fontId="0" fillId="9" borderId="10" xfId="0" applyNumberFormat="1" applyFill="1" applyBorder="1" applyAlignment="1">
      <alignment horizontal="center"/>
    </xf>
    <xf numFmtId="1" fontId="0" fillId="9" borderId="10" xfId="0" applyNumberFormat="1" applyFill="1" applyBorder="1" applyAlignment="1">
      <alignment horizontal="center"/>
    </xf>
    <xf numFmtId="0" fontId="0" fillId="0" borderId="13" xfId="0" applyBorder="1" applyAlignment="1">
      <alignment horizontal="center"/>
    </xf>
    <xf numFmtId="1" fontId="35" fillId="0" borderId="2" xfId="0" applyNumberFormat="1" applyFont="1" applyBorder="1" applyAlignment="1">
      <alignment vertical="center"/>
    </xf>
    <xf numFmtId="1" fontId="35" fillId="0" borderId="28" xfId="0" applyNumberFormat="1" applyFont="1" applyBorder="1" applyAlignment="1">
      <alignment vertical="center"/>
    </xf>
    <xf numFmtId="1" fontId="35" fillId="0" borderId="51" xfId="0" applyNumberFormat="1" applyFont="1" applyBorder="1" applyAlignment="1">
      <alignment vertical="center"/>
    </xf>
    <xf numFmtId="1" fontId="35" fillId="0" borderId="47" xfId="0" applyNumberFormat="1" applyFont="1" applyBorder="1" applyAlignment="1">
      <alignment vertical="center"/>
    </xf>
    <xf numFmtId="0" fontId="0" fillId="0" borderId="28" xfId="0" applyBorder="1"/>
    <xf numFmtId="0" fontId="0" fillId="0" borderId="9" xfId="0" applyBorder="1"/>
    <xf numFmtId="0" fontId="24" fillId="0" borderId="0" xfId="0" applyFont="1" applyAlignment="1">
      <alignment horizontal="left"/>
    </xf>
    <xf numFmtId="1" fontId="0" fillId="0" borderId="53" xfId="0" quotePrefix="1" applyNumberFormat="1" applyBorder="1" applyAlignment="1">
      <alignment horizontal="center"/>
    </xf>
    <xf numFmtId="0" fontId="0" fillId="5" borderId="2" xfId="0" applyFill="1" applyBorder="1"/>
    <xf numFmtId="0" fontId="0" fillId="5" borderId="28" xfId="0" applyFill="1" applyBorder="1"/>
    <xf numFmtId="0" fontId="0" fillId="5" borderId="7" xfId="0" applyFill="1" applyBorder="1"/>
    <xf numFmtId="0" fontId="0" fillId="3" borderId="4" xfId="0" applyFill="1" applyBorder="1" applyAlignment="1">
      <alignment vertical="center" wrapText="1"/>
    </xf>
    <xf numFmtId="0" fontId="0" fillId="3" borderId="8" xfId="0" applyFill="1" applyBorder="1"/>
    <xf numFmtId="0" fontId="0" fillId="3" borderId="4" xfId="0" applyFill="1" applyBorder="1"/>
    <xf numFmtId="0" fontId="7" fillId="5" borderId="0" xfId="0" applyFont="1" applyFill="1"/>
    <xf numFmtId="0" fontId="6" fillId="3" borderId="4" xfId="0" applyFont="1" applyFill="1" applyBorder="1"/>
    <xf numFmtId="0" fontId="24" fillId="3" borderId="0" xfId="0" applyFont="1" applyFill="1"/>
    <xf numFmtId="0" fontId="24" fillId="3" borderId="0" xfId="0" applyFont="1" applyFill="1" applyAlignment="1">
      <alignment vertical="top"/>
    </xf>
    <xf numFmtId="0" fontId="29" fillId="3" borderId="0" xfId="0" applyFont="1" applyFill="1"/>
    <xf numFmtId="0" fontId="30" fillId="3" borderId="0" xfId="0" applyFont="1" applyFill="1"/>
    <xf numFmtId="0" fontId="0" fillId="3" borderId="5" xfId="0" applyFill="1" applyBorder="1"/>
    <xf numFmtId="0" fontId="24" fillId="3" borderId="9" xfId="0" applyFont="1" applyFill="1" applyBorder="1"/>
    <xf numFmtId="0" fontId="0" fillId="3" borderId="9" xfId="0" applyFill="1" applyBorder="1" applyAlignment="1" applyProtection="1">
      <alignment horizontal="center"/>
      <protection locked="0"/>
    </xf>
    <xf numFmtId="0" fontId="0" fillId="3" borderId="24" xfId="0" applyFill="1" applyBorder="1"/>
    <xf numFmtId="0" fontId="30" fillId="0" borderId="0" xfId="0" applyFont="1"/>
    <xf numFmtId="0" fontId="30" fillId="0" borderId="0" xfId="0" applyFont="1" applyAlignment="1">
      <alignment horizontal="right"/>
    </xf>
    <xf numFmtId="0" fontId="0" fillId="0" borderId="13" xfId="0" applyBorder="1" applyAlignment="1">
      <alignment horizontal="center" vertical="center"/>
    </xf>
    <xf numFmtId="3" fontId="0" fillId="0" borderId="10" xfId="0" applyNumberFormat="1" applyBorder="1"/>
    <xf numFmtId="3" fontId="0" fillId="0" borderId="0" xfId="0" applyNumberFormat="1"/>
    <xf numFmtId="0" fontId="52" fillId="8" borderId="10" xfId="0" applyFont="1" applyFill="1" applyBorder="1" applyAlignment="1">
      <alignment horizontal="center" vertical="center"/>
    </xf>
    <xf numFmtId="0" fontId="53" fillId="8" borderId="10" xfId="0" applyFont="1" applyFill="1" applyBorder="1" applyAlignment="1">
      <alignment horizontal="center" vertical="center"/>
    </xf>
    <xf numFmtId="0" fontId="52" fillId="12" borderId="10" xfId="0" applyFont="1" applyFill="1" applyBorder="1" applyAlignment="1">
      <alignment horizontal="center" vertical="center"/>
    </xf>
    <xf numFmtId="0" fontId="53" fillId="12" borderId="10" xfId="0" applyFont="1" applyFill="1" applyBorder="1" applyAlignment="1">
      <alignment horizontal="center" vertical="center"/>
    </xf>
    <xf numFmtId="0" fontId="52" fillId="14" borderId="10" xfId="0" applyFont="1" applyFill="1" applyBorder="1" applyAlignment="1">
      <alignment horizontal="center" vertical="center"/>
    </xf>
    <xf numFmtId="0" fontId="53" fillId="14" borderId="10" xfId="0" applyFont="1" applyFill="1" applyBorder="1" applyAlignment="1">
      <alignment horizontal="center" vertical="center"/>
    </xf>
    <xf numFmtId="0" fontId="52" fillId="9" borderId="46" xfId="0" applyFont="1" applyFill="1" applyBorder="1" applyAlignment="1">
      <alignment horizontal="center" vertical="center"/>
    </xf>
    <xf numFmtId="0" fontId="53" fillId="9" borderId="46" xfId="0" applyFont="1" applyFill="1" applyBorder="1" applyAlignment="1">
      <alignment horizontal="center" vertical="center"/>
    </xf>
    <xf numFmtId="0" fontId="52" fillId="10" borderId="45" xfId="0" applyFont="1" applyFill="1" applyBorder="1" applyAlignment="1">
      <alignment horizontal="center" vertical="center"/>
    </xf>
    <xf numFmtId="0" fontId="53" fillId="10" borderId="45" xfId="0" applyFont="1" applyFill="1" applyBorder="1" applyAlignment="1">
      <alignment horizontal="center" vertical="center"/>
    </xf>
    <xf numFmtId="0" fontId="52" fillId="13" borderId="10" xfId="0" applyFont="1" applyFill="1" applyBorder="1" applyAlignment="1">
      <alignment horizontal="center" vertical="center"/>
    </xf>
    <xf numFmtId="0" fontId="53" fillId="13" borderId="10" xfId="0" applyFont="1" applyFill="1" applyBorder="1" applyAlignment="1">
      <alignment horizontal="center" vertical="center"/>
    </xf>
    <xf numFmtId="0" fontId="52" fillId="11" borderId="10" xfId="0" applyFont="1" applyFill="1" applyBorder="1" applyAlignment="1">
      <alignment horizontal="center" vertical="center"/>
    </xf>
    <xf numFmtId="0" fontId="53" fillId="11" borderId="10" xfId="0" applyFont="1" applyFill="1" applyBorder="1" applyAlignment="1">
      <alignment horizontal="center" vertical="center"/>
    </xf>
    <xf numFmtId="0" fontId="53" fillId="0" borderId="0" xfId="0" applyFont="1"/>
    <xf numFmtId="0" fontId="15" fillId="11" borderId="10" xfId="0" applyFont="1" applyFill="1" applyBorder="1" applyAlignment="1">
      <alignment horizontal="center" vertical="center"/>
    </xf>
    <xf numFmtId="0" fontId="15" fillId="11" borderId="10" xfId="0" applyFont="1" applyFill="1" applyBorder="1" applyAlignment="1">
      <alignment vertical="center"/>
    </xf>
    <xf numFmtId="3" fontId="54" fillId="0" borderId="10" xfId="0" applyNumberFormat="1" applyFont="1" applyBorder="1" applyAlignment="1">
      <alignment horizontal="center" vertical="center"/>
    </xf>
    <xf numFmtId="3" fontId="54" fillId="0" borderId="15" xfId="0" applyNumberFormat="1" applyFont="1" applyBorder="1" applyAlignment="1">
      <alignment horizontal="center" vertical="center"/>
    </xf>
    <xf numFmtId="0" fontId="0" fillId="0" borderId="45" xfId="0" applyBorder="1" applyAlignment="1">
      <alignment horizontal="center"/>
    </xf>
    <xf numFmtId="3" fontId="15" fillId="0" borderId="27" xfId="0" applyNumberFormat="1" applyFont="1" applyBorder="1" applyAlignment="1">
      <alignment horizontal="center" vertical="center"/>
    </xf>
    <xf numFmtId="0" fontId="2" fillId="3" borderId="0" xfId="0" applyFont="1" applyFill="1" applyAlignment="1" applyProtection="1">
      <alignment horizontal="center"/>
      <protection locked="0"/>
    </xf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0" fontId="52" fillId="0" borderId="27" xfId="0" applyFont="1" applyBorder="1" applyAlignment="1">
      <alignment horizontal="center" vertical="center"/>
    </xf>
    <xf numFmtId="0" fontId="52" fillId="0" borderId="13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0" fontId="52" fillId="0" borderId="0" xfId="0" applyFont="1" applyAlignment="1">
      <alignment wrapText="1"/>
    </xf>
    <xf numFmtId="0" fontId="52" fillId="0" borderId="15" xfId="0" applyFont="1" applyBorder="1" applyAlignment="1">
      <alignment horizontal="center" vertical="center"/>
    </xf>
    <xf numFmtId="0" fontId="55" fillId="0" borderId="27" xfId="0" applyFont="1" applyBorder="1"/>
    <xf numFmtId="3" fontId="55" fillId="0" borderId="27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56" fillId="0" borderId="0" xfId="0" applyFont="1"/>
    <xf numFmtId="0" fontId="30" fillId="0" borderId="27" xfId="0" applyFont="1" applyBorder="1"/>
    <xf numFmtId="0" fontId="0" fillId="0" borderId="0" xfId="0" applyAlignment="1">
      <alignment horizontal="right"/>
    </xf>
    <xf numFmtId="0" fontId="0" fillId="0" borderId="45" xfId="0" applyBorder="1"/>
    <xf numFmtId="0" fontId="30" fillId="0" borderId="27" xfId="0" applyFont="1" applyBorder="1" applyAlignment="1">
      <alignment horizontal="center"/>
    </xf>
    <xf numFmtId="0" fontId="57" fillId="0" borderId="34" xfId="0" applyFont="1" applyBorder="1" applyAlignment="1">
      <alignment horizontal="center"/>
    </xf>
    <xf numFmtId="0" fontId="30" fillId="0" borderId="30" xfId="0" applyFont="1" applyBorder="1"/>
    <xf numFmtId="0" fontId="30" fillId="0" borderId="30" xfId="0" applyFont="1" applyBorder="1" applyAlignment="1">
      <alignment horizontal="right"/>
    </xf>
    <xf numFmtId="0" fontId="0" fillId="0" borderId="34" xfId="0" applyBorder="1" applyAlignment="1">
      <alignment horizontal="center"/>
    </xf>
    <xf numFmtId="0" fontId="57" fillId="0" borderId="80" xfId="0" applyFont="1" applyBorder="1" applyAlignment="1">
      <alignment horizontal="center"/>
    </xf>
    <xf numFmtId="0" fontId="58" fillId="3" borderId="39" xfId="0" applyFont="1" applyFill="1" applyBorder="1" applyAlignment="1">
      <alignment horizontal="center" vertical="center"/>
    </xf>
    <xf numFmtId="0" fontId="58" fillId="2" borderId="41" xfId="0" applyFont="1" applyFill="1" applyBorder="1" applyAlignment="1" applyProtection="1">
      <alignment horizontal="center" vertical="center"/>
      <protection locked="0"/>
    </xf>
    <xf numFmtId="0" fontId="58" fillId="3" borderId="0" xfId="0" applyFont="1" applyFill="1"/>
    <xf numFmtId="0" fontId="58" fillId="2" borderId="37" xfId="0" applyFont="1" applyFill="1" applyBorder="1" applyAlignment="1" applyProtection="1">
      <alignment horizontal="center" vertical="center"/>
      <protection locked="0"/>
    </xf>
    <xf numFmtId="0" fontId="58" fillId="2" borderId="38" xfId="0" applyFont="1" applyFill="1" applyBorder="1" applyAlignment="1" applyProtection="1">
      <alignment horizontal="center" vertical="center"/>
      <protection locked="0"/>
    </xf>
    <xf numFmtId="0" fontId="58" fillId="2" borderId="39" xfId="0" applyFont="1" applyFill="1" applyBorder="1" applyAlignment="1" applyProtection="1">
      <alignment horizontal="center" vertical="center"/>
      <protection locked="0"/>
    </xf>
    <xf numFmtId="0" fontId="58" fillId="3" borderId="0" xfId="0" applyFont="1" applyFill="1" applyAlignment="1">
      <alignment horizontal="center" vertical="center"/>
    </xf>
    <xf numFmtId="0" fontId="30" fillId="2" borderId="10" xfId="0" applyFont="1" applyFill="1" applyBorder="1" applyAlignment="1" applyProtection="1">
      <alignment horizontal="center" vertical="center"/>
      <protection locked="0"/>
    </xf>
    <xf numFmtId="3" fontId="0" fillId="0" borderId="0" xfId="0" applyNumberFormat="1" applyAlignment="1">
      <alignment horizontal="center" vertical="center"/>
    </xf>
    <xf numFmtId="1" fontId="31" fillId="3" borderId="0" xfId="0" applyNumberFormat="1" applyFont="1" applyFill="1" applyAlignment="1">
      <alignment horizontal="right"/>
    </xf>
    <xf numFmtId="0" fontId="31" fillId="3" borderId="0" xfId="0" applyFont="1" applyFill="1"/>
    <xf numFmtId="0" fontId="0" fillId="0" borderId="55" xfId="0" applyBorder="1" applyAlignment="1">
      <alignment horizontal="center"/>
    </xf>
    <xf numFmtId="0" fontId="0" fillId="0" borderId="46" xfId="0" applyBorder="1"/>
    <xf numFmtId="0" fontId="62" fillId="0" borderId="34" xfId="0" applyFont="1" applyBorder="1" applyAlignment="1">
      <alignment horizontal="center" vertical="center" readingOrder="1"/>
    </xf>
    <xf numFmtId="44" fontId="60" fillId="0" borderId="34" xfId="1" applyFont="1" applyBorder="1" applyAlignment="1">
      <alignment horizontal="right" readingOrder="1"/>
    </xf>
    <xf numFmtId="44" fontId="60" fillId="0" borderId="38" xfId="1" applyFont="1" applyBorder="1" applyAlignment="1">
      <alignment horizontal="right" readingOrder="1"/>
    </xf>
    <xf numFmtId="0" fontId="61" fillId="0" borderId="34" xfId="0" applyFont="1" applyBorder="1" applyAlignment="1">
      <alignment horizontal="left" vertical="center" readingOrder="1"/>
    </xf>
    <xf numFmtId="0" fontId="60" fillId="0" borderId="34" xfId="0" applyFont="1" applyBorder="1" applyAlignment="1">
      <alignment horizontal="center" vertical="center" readingOrder="1"/>
    </xf>
    <xf numFmtId="0" fontId="60" fillId="0" borderId="34" xfId="0" applyFont="1" applyBorder="1" applyAlignment="1" applyProtection="1">
      <alignment horizontal="center" vertical="center" readingOrder="1"/>
      <protection locked="0"/>
    </xf>
    <xf numFmtId="49" fontId="61" fillId="0" borderId="82" xfId="0" applyNumberFormat="1" applyFont="1" applyBorder="1" applyAlignment="1">
      <alignment horizontal="left" vertical="center" readingOrder="1"/>
    </xf>
    <xf numFmtId="0" fontId="61" fillId="0" borderId="83" xfId="0" applyFont="1" applyBorder="1" applyAlignment="1">
      <alignment horizontal="left" vertical="center" readingOrder="1"/>
    </xf>
    <xf numFmtId="0" fontId="62" fillId="0" borderId="83" xfId="0" applyFont="1" applyBorder="1" applyAlignment="1">
      <alignment horizontal="center" vertical="center" readingOrder="1"/>
    </xf>
    <xf numFmtId="0" fontId="60" fillId="0" borderId="83" xfId="0" applyFont="1" applyBorder="1" applyAlignment="1">
      <alignment horizontal="center" vertical="center" readingOrder="1"/>
    </xf>
    <xf numFmtId="0" fontId="60" fillId="0" borderId="83" xfId="0" applyFont="1" applyBorder="1" applyAlignment="1" applyProtection="1">
      <alignment horizontal="center" vertical="center" readingOrder="1"/>
      <protection locked="0"/>
    </xf>
    <xf numFmtId="44" fontId="60" fillId="0" borderId="83" xfId="1" applyFont="1" applyBorder="1" applyAlignment="1">
      <alignment horizontal="right" readingOrder="1"/>
    </xf>
    <xf numFmtId="44" fontId="60" fillId="0" borderId="84" xfId="1" applyFont="1" applyBorder="1" applyAlignment="1">
      <alignment horizontal="right" readingOrder="1"/>
    </xf>
    <xf numFmtId="0" fontId="15" fillId="3" borderId="22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23" xfId="0" applyFont="1" applyFill="1" applyBorder="1" applyAlignment="1">
      <alignment horizontal="left" vertical="center" wrapText="1"/>
    </xf>
    <xf numFmtId="0" fontId="27" fillId="3" borderId="0" xfId="0" applyFont="1" applyFill="1" applyAlignment="1">
      <alignment horizontal="right" vertical="center"/>
    </xf>
    <xf numFmtId="0" fontId="63" fillId="4" borderId="27" xfId="0" applyFont="1" applyFill="1" applyBorder="1" applyAlignment="1">
      <alignment horizontal="center"/>
    </xf>
    <xf numFmtId="0" fontId="63" fillId="4" borderId="27" xfId="0" applyFont="1" applyFill="1" applyBorder="1"/>
    <xf numFmtId="0" fontId="64" fillId="4" borderId="27" xfId="0" applyFont="1" applyFill="1" applyBorder="1" applyAlignment="1">
      <alignment horizontal="center" wrapText="1"/>
    </xf>
    <xf numFmtId="0" fontId="63" fillId="4" borderId="27" xfId="0" applyFont="1" applyFill="1" applyBorder="1" applyAlignment="1">
      <alignment horizontal="center" wrapText="1"/>
    </xf>
    <xf numFmtId="0" fontId="63" fillId="4" borderId="27" xfId="0" applyFont="1" applyFill="1" applyBorder="1" applyAlignment="1">
      <alignment wrapText="1"/>
    </xf>
    <xf numFmtId="0" fontId="0" fillId="0" borderId="11" xfId="0" applyBorder="1" applyAlignment="1">
      <alignment horizontal="center" vertical="center"/>
    </xf>
    <xf numFmtId="1" fontId="44" fillId="0" borderId="10" xfId="0" applyNumberFormat="1" applyFont="1" applyBorder="1" applyAlignment="1">
      <alignment horizontal="center"/>
    </xf>
    <xf numFmtId="0" fontId="15" fillId="3" borderId="0" xfId="0" applyFont="1" applyFill="1" applyAlignment="1">
      <alignment horizontal="right"/>
    </xf>
    <xf numFmtId="172" fontId="30" fillId="9" borderId="10" xfId="0" applyNumberFormat="1" applyFont="1" applyFill="1" applyBorder="1" applyAlignment="1">
      <alignment horizontal="center"/>
    </xf>
    <xf numFmtId="172" fontId="24" fillId="9" borderId="10" xfId="0" applyNumberFormat="1" applyFont="1" applyFill="1" applyBorder="1" applyAlignment="1">
      <alignment horizontal="center"/>
    </xf>
    <xf numFmtId="0" fontId="58" fillId="3" borderId="0" xfId="0" applyFont="1" applyFill="1" applyAlignment="1">
      <alignment horizontal="right"/>
    </xf>
    <xf numFmtId="172" fontId="58" fillId="9" borderId="10" xfId="0" applyNumberFormat="1" applyFont="1" applyFill="1" applyBorder="1" applyAlignment="1">
      <alignment horizontal="center"/>
    </xf>
    <xf numFmtId="172" fontId="24" fillId="9" borderId="11" xfId="0" applyNumberFormat="1" applyFont="1" applyFill="1" applyBorder="1" applyAlignment="1">
      <alignment horizontal="center"/>
    </xf>
    <xf numFmtId="0" fontId="66" fillId="0" borderId="0" xfId="0" applyFont="1"/>
    <xf numFmtId="0" fontId="15" fillId="3" borderId="0" xfId="0" applyFont="1" applyFill="1" applyAlignment="1">
      <alignment vertical="center" wrapText="1"/>
    </xf>
    <xf numFmtId="0" fontId="15" fillId="3" borderId="23" xfId="0" applyFont="1" applyFill="1" applyBorder="1" applyAlignment="1">
      <alignment vertical="center" wrapText="1"/>
    </xf>
    <xf numFmtId="0" fontId="15" fillId="0" borderId="0" xfId="0" applyFont="1" applyAlignment="1">
      <alignment wrapText="1"/>
    </xf>
    <xf numFmtId="0" fontId="15" fillId="0" borderId="23" xfId="0" applyFont="1" applyBorder="1" applyAlignment="1">
      <alignment wrapText="1"/>
    </xf>
    <xf numFmtId="0" fontId="66" fillId="0" borderId="0" xfId="0" applyFont="1" applyAlignment="1">
      <alignment horizontal="left" vertical="center"/>
    </xf>
    <xf numFmtId="0" fontId="66" fillId="0" borderId="0" xfId="0" applyFont="1" applyAlignment="1">
      <alignment horizontal="right" vertical="center"/>
    </xf>
    <xf numFmtId="0" fontId="0" fillId="4" borderId="11" xfId="0" applyFill="1" applyBorder="1"/>
    <xf numFmtId="0" fontId="9" fillId="4" borderId="10" xfId="0" applyFont="1" applyFill="1" applyBorder="1" applyAlignment="1">
      <alignment horizontal="left"/>
    </xf>
    <xf numFmtId="0" fontId="9" fillId="4" borderId="10" xfId="0" applyFont="1" applyFill="1" applyBorder="1"/>
    <xf numFmtId="0" fontId="0" fillId="4" borderId="12" xfId="0" applyFill="1" applyBorder="1"/>
    <xf numFmtId="0" fontId="0" fillId="4" borderId="10" xfId="0" applyFill="1" applyBorder="1"/>
    <xf numFmtId="0" fontId="11" fillId="17" borderId="10" xfId="2" applyFont="1" applyFill="1" applyBorder="1" applyAlignment="1">
      <alignment wrapText="1"/>
    </xf>
    <xf numFmtId="0" fontId="8" fillId="17" borderId="10" xfId="2" applyFill="1" applyBorder="1"/>
    <xf numFmtId="0" fontId="8" fillId="0" borderId="87" xfId="2" applyBorder="1"/>
    <xf numFmtId="0" fontId="8" fillId="0" borderId="88" xfId="2" applyBorder="1"/>
    <xf numFmtId="0" fontId="8" fillId="0" borderId="89" xfId="2" applyBorder="1"/>
    <xf numFmtId="0" fontId="0" fillId="4" borderId="29" xfId="0" applyFill="1" applyBorder="1"/>
    <xf numFmtId="0" fontId="0" fillId="4" borderId="0" xfId="0" applyFill="1"/>
    <xf numFmtId="0" fontId="0" fillId="4" borderId="10" xfId="0" applyFill="1" applyBorder="1" applyAlignment="1">
      <alignment wrapText="1"/>
    </xf>
    <xf numFmtId="172" fontId="24" fillId="2" borderId="10" xfId="0" applyNumberFormat="1" applyFont="1" applyFill="1" applyBorder="1" applyAlignment="1" applyProtection="1">
      <alignment horizontal="center" vertical="center"/>
      <protection locked="0"/>
    </xf>
    <xf numFmtId="0" fontId="0" fillId="4" borderId="13" xfId="0" applyFill="1" applyBorder="1"/>
    <xf numFmtId="0" fontId="30" fillId="3" borderId="0" xfId="0" applyFont="1" applyFill="1" applyAlignment="1">
      <alignment horizontal="right"/>
    </xf>
    <xf numFmtId="0" fontId="30" fillId="3" borderId="0" xfId="0" applyFont="1" applyFill="1" applyAlignment="1">
      <alignment horizontal="right" vertical="center"/>
    </xf>
    <xf numFmtId="0" fontId="58" fillId="0" borderId="38" xfId="0" applyFont="1" applyBorder="1" applyAlignment="1">
      <alignment horizontal="center" vertical="center"/>
    </xf>
    <xf numFmtId="0" fontId="10" fillId="4" borderId="10" xfId="0" applyFont="1" applyFill="1" applyBorder="1"/>
    <xf numFmtId="167" fontId="30" fillId="3" borderId="0" xfId="0" applyNumberFormat="1" applyFont="1" applyFill="1"/>
    <xf numFmtId="173" fontId="30" fillId="3" borderId="0" xfId="0" applyNumberFormat="1" applyFont="1" applyFill="1"/>
    <xf numFmtId="0" fontId="0" fillId="0" borderId="4" xfId="0" applyBorder="1"/>
    <xf numFmtId="0" fontId="0" fillId="0" borderId="8" xfId="0" applyBorder="1"/>
    <xf numFmtId="168" fontId="30" fillId="3" borderId="8" xfId="0" applyNumberFormat="1" applyFont="1" applyFill="1" applyBorder="1"/>
    <xf numFmtId="0" fontId="0" fillId="3" borderId="0" xfId="0" applyFill="1" applyAlignment="1">
      <alignment vertical="center"/>
    </xf>
    <xf numFmtId="0" fontId="67" fillId="3" borderId="0" xfId="0" applyFont="1" applyFill="1" applyAlignment="1">
      <alignment horizontal="center" vertical="center"/>
    </xf>
    <xf numFmtId="0" fontId="68" fillId="0" borderId="80" xfId="0" applyFont="1" applyBorder="1" applyAlignment="1">
      <alignment horizontal="left" vertical="center" wrapText="1" readingOrder="1"/>
    </xf>
    <xf numFmtId="0" fontId="69" fillId="3" borderId="0" xfId="0" applyFont="1" applyFill="1"/>
    <xf numFmtId="44" fontId="69" fillId="3" borderId="0" xfId="0" applyNumberFormat="1" applyFont="1" applyFill="1"/>
    <xf numFmtId="171" fontId="58" fillId="3" borderId="86" xfId="0" applyNumberFormat="1" applyFont="1" applyFill="1" applyBorder="1" applyAlignment="1">
      <alignment horizontal="center" vertical="center"/>
    </xf>
    <xf numFmtId="173" fontId="15" fillId="0" borderId="27" xfId="0" applyNumberFormat="1" applyFont="1" applyBorder="1" applyAlignment="1">
      <alignment horizontal="center" vertical="center"/>
    </xf>
    <xf numFmtId="0" fontId="73" fillId="0" borderId="33" xfId="0" applyFont="1" applyBorder="1" applyAlignment="1">
      <alignment vertical="center"/>
    </xf>
    <xf numFmtId="49" fontId="70" fillId="0" borderId="33" xfId="0" applyNumberFormat="1" applyFont="1" applyBorder="1" applyAlignment="1">
      <alignment horizontal="left" vertical="center" wrapText="1" readingOrder="1"/>
    </xf>
    <xf numFmtId="0" fontId="70" fillId="0" borderId="34" xfId="0" applyFont="1" applyBorder="1" applyAlignment="1" applyProtection="1">
      <alignment horizontal="left" vertical="center" wrapText="1" readingOrder="1"/>
      <protection locked="0"/>
    </xf>
    <xf numFmtId="0" fontId="70" fillId="0" borderId="34" xfId="0" applyFont="1" applyBorder="1" applyAlignment="1">
      <alignment horizontal="center" vertical="center" wrapText="1" readingOrder="1"/>
    </xf>
    <xf numFmtId="49" fontId="70" fillId="0" borderId="35" xfId="0" applyNumberFormat="1" applyFont="1" applyBorder="1" applyAlignment="1">
      <alignment horizontal="left" vertical="center" wrapText="1" readingOrder="1"/>
    </xf>
    <xf numFmtId="0" fontId="70" fillId="0" borderId="81" xfId="0" applyFont="1" applyBorder="1" applyAlignment="1" applyProtection="1">
      <alignment horizontal="left" vertical="center" wrapText="1" readingOrder="1"/>
      <protection locked="0"/>
    </xf>
    <xf numFmtId="0" fontId="70" fillId="0" borderId="81" xfId="0" applyFont="1" applyBorder="1" applyAlignment="1">
      <alignment horizontal="center" vertical="center" wrapText="1" readingOrder="1"/>
    </xf>
    <xf numFmtId="0" fontId="70" fillId="0" borderId="81" xfId="0" applyFont="1" applyBorder="1" applyAlignment="1" applyProtection="1">
      <alignment horizontal="center" vertical="center" wrapText="1" readingOrder="1"/>
      <protection locked="0"/>
    </xf>
    <xf numFmtId="0" fontId="0" fillId="3" borderId="0" xfId="0" applyFill="1" applyAlignment="1">
      <alignment horizontal="right" vertical="center"/>
    </xf>
    <xf numFmtId="0" fontId="68" fillId="0" borderId="91" xfId="0" applyFont="1" applyBorder="1" applyAlignment="1">
      <alignment horizontal="left" vertical="center" wrapText="1" readingOrder="1"/>
    </xf>
    <xf numFmtId="0" fontId="0" fillId="0" borderId="54" xfId="0" applyBorder="1"/>
    <xf numFmtId="0" fontId="74" fillId="0" borderId="0" xfId="0" applyFont="1" applyAlignment="1">
      <alignment horizontal="right" vertical="center"/>
    </xf>
    <xf numFmtId="0" fontId="76" fillId="0" borderId="0" xfId="0" applyFont="1"/>
    <xf numFmtId="0" fontId="77" fillId="0" borderId="0" xfId="0" applyFont="1"/>
    <xf numFmtId="0" fontId="77" fillId="0" borderId="0" xfId="0" applyFont="1" applyAlignment="1">
      <alignment horizontal="right"/>
    </xf>
    <xf numFmtId="0" fontId="76" fillId="0" borderId="0" xfId="0" applyFont="1" applyAlignment="1">
      <alignment horizontal="right"/>
    </xf>
    <xf numFmtId="2" fontId="77" fillId="0" borderId="0" xfId="0" applyNumberFormat="1" applyFont="1"/>
    <xf numFmtId="0" fontId="78" fillId="0" borderId="34" xfId="0" applyFont="1" applyBorder="1" applyAlignment="1">
      <alignment horizontal="center"/>
    </xf>
    <xf numFmtId="0" fontId="78" fillId="0" borderId="80" xfId="0" applyFont="1" applyBorder="1" applyAlignment="1">
      <alignment horizontal="center"/>
    </xf>
    <xf numFmtId="0" fontId="0" fillId="3" borderId="0" xfId="0" applyFill="1" applyAlignment="1">
      <alignment horizontal="left" vertical="center"/>
    </xf>
    <xf numFmtId="1" fontId="30" fillId="2" borderId="10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>
      <alignment horizontal="left"/>
    </xf>
    <xf numFmtId="0" fontId="24" fillId="3" borderId="0" xfId="0" applyFont="1" applyFill="1" applyAlignment="1">
      <alignment horizontal="left" vertical="center" wrapText="1"/>
    </xf>
    <xf numFmtId="0" fontId="70" fillId="0" borderId="83" xfId="0" applyFont="1" applyBorder="1" applyAlignment="1">
      <alignment horizontal="center" vertical="center" wrapText="1" readingOrder="1"/>
    </xf>
    <xf numFmtId="1" fontId="70" fillId="0" borderId="83" xfId="0" applyNumberFormat="1" applyFont="1" applyBorder="1" applyAlignment="1">
      <alignment horizontal="center" vertical="center" wrapText="1" readingOrder="1"/>
    </xf>
    <xf numFmtId="2" fontId="70" fillId="0" borderId="83" xfId="0" applyNumberFormat="1" applyFont="1" applyBorder="1" applyAlignment="1">
      <alignment horizontal="center" vertical="center" wrapText="1" readingOrder="1"/>
    </xf>
    <xf numFmtId="0" fontId="3" fillId="4" borderId="27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vertical="center"/>
    </xf>
    <xf numFmtId="0" fontId="3" fillId="4" borderId="27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vertical="center" wrapText="1"/>
    </xf>
    <xf numFmtId="0" fontId="24" fillId="3" borderId="0" xfId="0" applyFont="1" applyFill="1" applyAlignment="1">
      <alignment vertical="center" wrapText="1"/>
    </xf>
    <xf numFmtId="0" fontId="7" fillId="5" borderId="0" xfId="0" applyFont="1" applyFill="1" applyAlignment="1">
      <alignment vertical="center"/>
    </xf>
    <xf numFmtId="0" fontId="0" fillId="0" borderId="0" xfId="0"/>
    <xf numFmtId="0" fontId="0" fillId="0" borderId="0" xfId="0"/>
    <xf numFmtId="0" fontId="0" fillId="0" borderId="10" xfId="0" applyBorder="1"/>
    <xf numFmtId="0" fontId="9" fillId="0" borderId="10" xfId="0" applyFont="1" applyBorder="1"/>
    <xf numFmtId="0" fontId="9" fillId="3" borderId="10" xfId="0" applyFont="1" applyFill="1" applyBorder="1"/>
    <xf numFmtId="0" fontId="0" fillId="0" borderId="13" xfId="0" applyBorder="1"/>
    <xf numFmtId="0" fontId="9" fillId="0" borderId="10" xfId="0" applyFont="1" applyBorder="1" applyAlignment="1">
      <alignment horizontal="left"/>
    </xf>
    <xf numFmtId="0" fontId="26" fillId="3" borderId="36" xfId="0" applyFont="1" applyFill="1" applyBorder="1" applyAlignment="1">
      <alignment horizontal="left" vertical="center"/>
    </xf>
    <xf numFmtId="0" fontId="0" fillId="0" borderId="10" xfId="0" applyBorder="1" applyAlignment="1">
      <alignment horizontal="center" vertical="center" wrapText="1"/>
    </xf>
    <xf numFmtId="0" fontId="9" fillId="4" borderId="10" xfId="0" applyFont="1" applyFill="1" applyBorder="1" applyAlignment="1">
      <alignment horizontal="left"/>
    </xf>
    <xf numFmtId="0" fontId="9" fillId="4" borderId="10" xfId="0" applyFont="1" applyFill="1" applyBorder="1"/>
    <xf numFmtId="0" fontId="0" fillId="4" borderId="10" xfId="0" applyFill="1" applyBorder="1"/>
    <xf numFmtId="0" fontId="8" fillId="17" borderId="10" xfId="2" applyFill="1" applyBorder="1"/>
    <xf numFmtId="0" fontId="0" fillId="4" borderId="13" xfId="0" applyFill="1" applyBorder="1"/>
    <xf numFmtId="0" fontId="13" fillId="4" borderId="10" xfId="0" quotePrefix="1" applyFont="1" applyFill="1" applyBorder="1"/>
    <xf numFmtId="0" fontId="0" fillId="0" borderId="49" xfId="0" applyBorder="1"/>
    <xf numFmtId="0" fontId="70" fillId="0" borderId="34" xfId="0" applyFont="1" applyBorder="1" applyAlignment="1">
      <alignment horizontal="left" vertical="center" wrapText="1" readingOrder="1"/>
    </xf>
    <xf numFmtId="0" fontId="0" fillId="0" borderId="10" xfId="0" applyBorder="1" applyAlignment="1">
      <alignment horizontal="left"/>
    </xf>
    <xf numFmtId="0" fontId="70" fillId="0" borderId="10" xfId="0" applyFont="1" applyBorder="1" applyAlignment="1">
      <alignment horizontal="left" vertical="center" wrapText="1" readingOrder="1"/>
    </xf>
    <xf numFmtId="0" fontId="69" fillId="3" borderId="0" xfId="0" applyFont="1" applyFill="1" applyBorder="1"/>
    <xf numFmtId="0" fontId="71" fillId="3" borderId="0" xfId="0" applyFont="1" applyFill="1" applyBorder="1" applyAlignment="1">
      <alignment horizontal="center"/>
    </xf>
    <xf numFmtId="0" fontId="70" fillId="0" borderId="80" xfId="0" applyFont="1" applyBorder="1" applyAlignment="1">
      <alignment horizontal="center" vertical="center" wrapText="1" readingOrder="1"/>
    </xf>
    <xf numFmtId="0" fontId="70" fillId="0" borderId="42" xfId="0" applyFont="1" applyBorder="1" applyAlignment="1">
      <alignment horizontal="center" vertical="center" wrapText="1" readingOrder="1"/>
    </xf>
    <xf numFmtId="0" fontId="70" fillId="0" borderId="80" xfId="0" applyFont="1" applyBorder="1" applyAlignment="1" applyProtection="1">
      <alignment horizontal="center" vertical="center" wrapText="1" readingOrder="1"/>
      <protection locked="0"/>
    </xf>
    <xf numFmtId="0" fontId="0" fillId="3" borderId="0" xfId="0" applyFill="1" applyAlignment="1" applyProtection="1">
      <alignment horizontal="center"/>
    </xf>
    <xf numFmtId="0" fontId="0" fillId="3" borderId="0" xfId="0" applyFill="1" applyProtection="1"/>
    <xf numFmtId="0" fontId="0" fillId="3" borderId="43" xfId="0" applyFill="1" applyBorder="1" applyProtection="1"/>
    <xf numFmtId="0" fontId="24" fillId="3" borderId="0" xfId="0" applyFont="1" applyFill="1" applyAlignment="1" applyProtection="1">
      <alignment vertical="top"/>
    </xf>
    <xf numFmtId="0" fontId="0" fillId="3" borderId="8" xfId="0" applyFill="1" applyBorder="1" applyProtection="1"/>
    <xf numFmtId="0" fontId="24" fillId="3" borderId="0" xfId="0" applyFont="1" applyFill="1" applyAlignment="1" applyProtection="1">
      <alignment horizontal="right"/>
    </xf>
    <xf numFmtId="0" fontId="24" fillId="3" borderId="0" xfId="0" applyFont="1" applyFill="1" applyProtection="1"/>
    <xf numFmtId="174" fontId="79" fillId="3" borderId="0" xfId="0" applyNumberFormat="1" applyFont="1" applyFill="1" applyAlignment="1" applyProtection="1">
      <alignment horizontal="right" vertical="center"/>
    </xf>
    <xf numFmtId="0" fontId="10" fillId="3" borderId="0" xfId="0" applyFont="1" applyFill="1" applyAlignment="1" applyProtection="1">
      <alignment horizontal="left" vertical="center"/>
    </xf>
    <xf numFmtId="0" fontId="66" fillId="3" borderId="0" xfId="0" applyFont="1" applyFill="1" applyProtection="1"/>
    <xf numFmtId="0" fontId="66" fillId="3" borderId="8" xfId="0" applyFont="1" applyFill="1" applyBorder="1" applyProtection="1"/>
    <xf numFmtId="169" fontId="80" fillId="3" borderId="0" xfId="0" applyNumberFormat="1" applyFont="1" applyFill="1" applyAlignment="1" applyProtection="1">
      <alignment horizontal="left" vertical="center"/>
    </xf>
    <xf numFmtId="0" fontId="81" fillId="3" borderId="0" xfId="0" applyFont="1" applyFill="1" applyAlignment="1" applyProtection="1">
      <alignment horizontal="left"/>
    </xf>
    <xf numFmtId="170" fontId="43" fillId="3" borderId="4" xfId="0" applyNumberFormat="1" applyFont="1" applyFill="1" applyBorder="1" applyAlignment="1" applyProtection="1">
      <alignment vertical="top" wrapText="1"/>
    </xf>
    <xf numFmtId="167" fontId="66" fillId="3" borderId="0" xfId="0" applyNumberFormat="1" applyFont="1" applyFill="1" applyProtection="1"/>
    <xf numFmtId="176" fontId="15" fillId="3" borderId="0" xfId="0" applyNumberFormat="1" applyFont="1" applyFill="1" applyAlignment="1" applyProtection="1">
      <alignment horizontal="center" vertical="top"/>
    </xf>
    <xf numFmtId="0" fontId="2" fillId="3" borderId="0" xfId="0" applyFont="1" applyFill="1" applyAlignment="1" applyProtection="1">
      <alignment horizontal="center"/>
    </xf>
    <xf numFmtId="169" fontId="59" fillId="3" borderId="0" xfId="0" applyNumberFormat="1" applyFont="1" applyFill="1" applyAlignment="1" applyProtection="1">
      <alignment horizontal="left" vertical="center"/>
    </xf>
    <xf numFmtId="0" fontId="28" fillId="3" borderId="0" xfId="0" applyFont="1" applyFill="1" applyAlignment="1" applyProtection="1">
      <alignment horizontal="center" wrapText="1"/>
    </xf>
    <xf numFmtId="0" fontId="2" fillId="3" borderId="0" xfId="0" applyFont="1" applyFill="1" applyProtection="1"/>
    <xf numFmtId="0" fontId="30" fillId="3" borderId="0" xfId="0" applyFont="1" applyFill="1" applyProtection="1"/>
    <xf numFmtId="0" fontId="0" fillId="0" borderId="92" xfId="0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9" borderId="94" xfId="0" applyFill="1" applyBorder="1" applyAlignment="1">
      <alignment horizontal="center" vertical="center"/>
    </xf>
    <xf numFmtId="0" fontId="0" fillId="0" borderId="94" xfId="0" applyBorder="1"/>
    <xf numFmtId="0" fontId="52" fillId="14" borderId="15" xfId="0" applyFont="1" applyFill="1" applyBorder="1" applyAlignment="1">
      <alignment horizontal="center" vertical="center"/>
    </xf>
    <xf numFmtId="0" fontId="52" fillId="9" borderId="94" xfId="0" applyFont="1" applyFill="1" applyBorder="1" applyAlignment="1">
      <alignment horizontal="center" vertical="center"/>
    </xf>
    <xf numFmtId="0" fontId="53" fillId="9" borderId="94" xfId="0" applyFont="1" applyFill="1" applyBorder="1" applyAlignment="1">
      <alignment horizontal="center" vertical="center"/>
    </xf>
    <xf numFmtId="0" fontId="52" fillId="8" borderId="15" xfId="0" applyFont="1" applyFill="1" applyBorder="1" applyAlignment="1">
      <alignment horizontal="center" vertical="center"/>
    </xf>
    <xf numFmtId="0" fontId="31" fillId="11" borderId="15" xfId="0" applyFont="1" applyFill="1" applyBorder="1" applyAlignment="1">
      <alignment horizontal="center" vertical="center"/>
    </xf>
    <xf numFmtId="0" fontId="0" fillId="0" borderId="95" xfId="0" applyBorder="1"/>
    <xf numFmtId="0" fontId="52" fillId="14" borderId="45" xfId="0" applyFont="1" applyFill="1" applyBorder="1" applyAlignment="1">
      <alignment horizontal="center" vertical="center"/>
    </xf>
    <xf numFmtId="0" fontId="52" fillId="8" borderId="45" xfId="0" applyFont="1" applyFill="1" applyBorder="1" applyAlignment="1">
      <alignment horizontal="center" vertical="center"/>
    </xf>
    <xf numFmtId="0" fontId="31" fillId="11" borderId="45" xfId="0" applyFont="1" applyFill="1" applyBorder="1" applyAlignment="1">
      <alignment horizontal="center" vertical="center"/>
    </xf>
    <xf numFmtId="0" fontId="0" fillId="9" borderId="10" xfId="0" applyFill="1" applyBorder="1" applyAlignment="1">
      <alignment horizontal="center" vertical="center"/>
    </xf>
    <xf numFmtId="0" fontId="52" fillId="9" borderId="10" xfId="0" applyFont="1" applyFill="1" applyBorder="1" applyAlignment="1">
      <alignment horizontal="center" vertical="center"/>
    </xf>
    <xf numFmtId="0" fontId="53" fillId="9" borderId="10" xfId="0" applyFont="1" applyFill="1" applyBorder="1" applyAlignment="1">
      <alignment horizontal="center" vertical="center"/>
    </xf>
    <xf numFmtId="0" fontId="9" fillId="9" borderId="1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16" borderId="2" xfId="0" applyFill="1" applyBorder="1"/>
    <xf numFmtId="0" fontId="0" fillId="16" borderId="7" xfId="0" applyFill="1" applyBorder="1"/>
    <xf numFmtId="0" fontId="0" fillId="16" borderId="4" xfId="0" applyFill="1" applyBorder="1"/>
    <xf numFmtId="0" fontId="0" fillId="16" borderId="0" xfId="0" applyFill="1"/>
    <xf numFmtId="0" fontId="0" fillId="16" borderId="0" xfId="0" applyFill="1" applyAlignment="1">
      <alignment horizontal="center"/>
    </xf>
    <xf numFmtId="0" fontId="0" fillId="16" borderId="8" xfId="0" applyFill="1" applyBorder="1"/>
    <xf numFmtId="0" fontId="24" fillId="18" borderId="96" xfId="0" applyFont="1" applyFill="1" applyBorder="1"/>
    <xf numFmtId="0" fontId="0" fillId="18" borderId="97" xfId="0" applyFill="1" applyBorder="1"/>
    <xf numFmtId="0" fontId="0" fillId="18" borderId="60" xfId="0" applyFill="1" applyBorder="1"/>
    <xf numFmtId="0" fontId="0" fillId="18" borderId="97" xfId="0" applyFill="1" applyBorder="1" applyAlignment="1">
      <alignment horizontal="center"/>
    </xf>
    <xf numFmtId="0" fontId="0" fillId="18" borderId="60" xfId="0" applyFill="1" applyBorder="1" applyAlignment="1">
      <alignment horizontal="center"/>
    </xf>
    <xf numFmtId="0" fontId="0" fillId="18" borderId="61" xfId="0" applyFill="1" applyBorder="1" applyAlignment="1">
      <alignment horizontal="center"/>
    </xf>
    <xf numFmtId="0" fontId="0" fillId="0" borderId="98" xfId="0" applyBorder="1"/>
    <xf numFmtId="178" fontId="0" fillId="0" borderId="13" xfId="0" applyNumberFormat="1" applyBorder="1" applyAlignment="1">
      <alignment horizontal="center"/>
    </xf>
    <xf numFmtId="178" fontId="0" fillId="0" borderId="11" xfId="0" applyNumberFormat="1" applyBorder="1" applyAlignment="1">
      <alignment horizontal="center"/>
    </xf>
    <xf numFmtId="178" fontId="0" fillId="0" borderId="62" xfId="0" applyNumberFormat="1" applyBorder="1" applyAlignment="1">
      <alignment horizontal="center"/>
    </xf>
    <xf numFmtId="0" fontId="0" fillId="0" borderId="53" xfId="0" applyBorder="1"/>
    <xf numFmtId="179" fontId="0" fillId="0" borderId="29" xfId="0" applyNumberFormat="1" applyBorder="1" applyAlignment="1">
      <alignment horizontal="center"/>
    </xf>
    <xf numFmtId="179" fontId="0" fillId="0" borderId="48" xfId="0" applyNumberFormat="1" applyBorder="1" applyAlignment="1">
      <alignment horizontal="center"/>
    </xf>
    <xf numFmtId="0" fontId="0" fillId="0" borderId="56" xfId="0" applyBorder="1"/>
    <xf numFmtId="0" fontId="0" fillId="0" borderId="56" xfId="0" applyBorder="1" applyAlignment="1">
      <alignment horizontal="center"/>
    </xf>
    <xf numFmtId="0" fontId="0" fillId="0" borderId="99" xfId="0" applyBorder="1"/>
    <xf numFmtId="0" fontId="0" fillId="0" borderId="100" xfId="0" applyBorder="1"/>
    <xf numFmtId="0" fontId="0" fillId="0" borderId="67" xfId="0" applyBorder="1"/>
    <xf numFmtId="0" fontId="0" fillId="0" borderId="79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18" borderId="78" xfId="0" applyFill="1" applyBorder="1"/>
    <xf numFmtId="0" fontId="0" fillId="18" borderId="78" xfId="0" applyFill="1" applyBorder="1" applyAlignment="1">
      <alignment horizontal="center"/>
    </xf>
    <xf numFmtId="44" fontId="0" fillId="0" borderId="13" xfId="0" applyNumberFormat="1" applyBorder="1" applyAlignment="1">
      <alignment horizontal="center"/>
    </xf>
    <xf numFmtId="44" fontId="0" fillId="0" borderId="54" xfId="0" applyNumberFormat="1" applyBorder="1" applyAlignment="1">
      <alignment horizontal="center"/>
    </xf>
    <xf numFmtId="44" fontId="0" fillId="0" borderId="62" xfId="0" applyNumberFormat="1" applyBorder="1" applyAlignment="1">
      <alignment horizontal="center"/>
    </xf>
    <xf numFmtId="0" fontId="0" fillId="0" borderId="5" xfId="0" applyBorder="1"/>
    <xf numFmtId="0" fontId="0" fillId="0" borderId="101" xfId="0" applyBorder="1"/>
    <xf numFmtId="44" fontId="0" fillId="0" borderId="102" xfId="0" applyNumberFormat="1" applyBorder="1" applyAlignment="1">
      <alignment horizontal="center"/>
    </xf>
    <xf numFmtId="44" fontId="0" fillId="0" borderId="9" xfId="0" applyNumberFormat="1" applyBorder="1" applyAlignment="1">
      <alignment horizontal="center"/>
    </xf>
    <xf numFmtId="0" fontId="0" fillId="0" borderId="101" xfId="0" applyBorder="1" applyAlignment="1">
      <alignment horizontal="center"/>
    </xf>
    <xf numFmtId="44" fontId="0" fillId="0" borderId="24" xfId="0" applyNumberFormat="1" applyBorder="1" applyAlignment="1">
      <alignment horizontal="center"/>
    </xf>
    <xf numFmtId="0" fontId="0" fillId="0" borderId="48" xfId="0" applyBorder="1"/>
    <xf numFmtId="44" fontId="0" fillId="0" borderId="29" xfId="0" applyNumberFormat="1" applyBorder="1" applyAlignment="1">
      <alignment horizontal="center"/>
    </xf>
    <xf numFmtId="44" fontId="0" fillId="0" borderId="48" xfId="0" applyNumberFormat="1" applyBorder="1" applyAlignment="1">
      <alignment horizontal="center"/>
    </xf>
    <xf numFmtId="0" fontId="24" fillId="18" borderId="2" xfId="0" applyFont="1" applyFill="1" applyBorder="1"/>
    <xf numFmtId="0" fontId="0" fillId="18" borderId="28" xfId="0" applyFill="1" applyBorder="1"/>
    <xf numFmtId="0" fontId="0" fillId="18" borderId="28" xfId="0" applyFill="1" applyBorder="1" applyAlignment="1">
      <alignment horizontal="center"/>
    </xf>
    <xf numFmtId="0" fontId="0" fillId="18" borderId="7" xfId="0" applyFill="1" applyBorder="1" applyAlignment="1">
      <alignment horizontal="center"/>
    </xf>
    <xf numFmtId="44" fontId="0" fillId="0" borderId="49" xfId="0" applyNumberFormat="1" applyBorder="1" applyAlignment="1">
      <alignment horizontal="center"/>
    </xf>
    <xf numFmtId="44" fontId="0" fillId="0" borderId="74" xfId="0" applyNumberFormat="1" applyBorder="1" applyAlignment="1">
      <alignment horizontal="center"/>
    </xf>
    <xf numFmtId="44" fontId="0" fillId="0" borderId="0" xfId="0" applyNumberFormat="1" applyAlignment="1">
      <alignment horizontal="center"/>
    </xf>
    <xf numFmtId="0" fontId="24" fillId="0" borderId="30" xfId="0" applyFont="1" applyBorder="1"/>
    <xf numFmtId="0" fontId="0" fillId="0" borderId="103" xfId="0" applyBorder="1"/>
    <xf numFmtId="0" fontId="0" fillId="0" borderId="104" xfId="0" applyBorder="1"/>
    <xf numFmtId="44" fontId="0" fillId="0" borderId="103" xfId="0" applyNumberFormat="1" applyBorder="1" applyAlignment="1">
      <alignment horizontal="center"/>
    </xf>
    <xf numFmtId="44" fontId="0" fillId="0" borderId="104" xfId="0" applyNumberFormat="1" applyBorder="1" applyAlignment="1">
      <alignment horizontal="center"/>
    </xf>
    <xf numFmtId="44" fontId="0" fillId="0" borderId="31" xfId="0" applyNumberFormat="1" applyBorder="1" applyAlignment="1">
      <alignment horizontal="center"/>
    </xf>
    <xf numFmtId="44" fontId="0" fillId="0" borderId="32" xfId="0" applyNumberFormat="1" applyBorder="1" applyAlignment="1">
      <alignment horizontal="center"/>
    </xf>
    <xf numFmtId="44" fontId="0" fillId="16" borderId="0" xfId="0" applyNumberFormat="1" applyFill="1" applyAlignment="1">
      <alignment horizontal="center"/>
    </xf>
    <xf numFmtId="0" fontId="0" fillId="16" borderId="5" xfId="0" applyFill="1" applyBorder="1"/>
    <xf numFmtId="0" fontId="0" fillId="16" borderId="9" xfId="0" applyFill="1" applyBorder="1"/>
    <xf numFmtId="0" fontId="0" fillId="16" borderId="9" xfId="0" applyFill="1" applyBorder="1" applyAlignment="1">
      <alignment horizontal="center"/>
    </xf>
    <xf numFmtId="0" fontId="0" fillId="16" borderId="24" xfId="0" applyFill="1" applyBorder="1"/>
    <xf numFmtId="0" fontId="73" fillId="0" borderId="10" xfId="0" applyFont="1" applyFill="1" applyBorder="1" applyAlignment="1">
      <alignment vertical="center" readingOrder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79" xfId="0" applyBorder="1"/>
    <xf numFmtId="44" fontId="0" fillId="0" borderId="100" xfId="0" applyNumberFormat="1" applyBorder="1" applyAlignment="1">
      <alignment horizontal="center"/>
    </xf>
    <xf numFmtId="44" fontId="0" fillId="0" borderId="79" xfId="0" applyNumberFormat="1" applyBorder="1" applyAlignment="1">
      <alignment horizontal="center"/>
    </xf>
    <xf numFmtId="44" fontId="0" fillId="0" borderId="67" xfId="0" applyNumberFormat="1" applyBorder="1" applyAlignment="1">
      <alignment horizontal="center"/>
    </xf>
    <xf numFmtId="44" fontId="0" fillId="0" borderId="68" xfId="0" applyNumberFormat="1" applyBorder="1" applyAlignment="1">
      <alignment horizontal="center"/>
    </xf>
    <xf numFmtId="0" fontId="0" fillId="0" borderId="57" xfId="0" applyBorder="1"/>
    <xf numFmtId="44" fontId="0" fillId="3" borderId="0" xfId="0" applyNumberFormat="1" applyFill="1" applyAlignment="1">
      <alignment horizontal="right" vertical="center"/>
    </xf>
    <xf numFmtId="44" fontId="0" fillId="0" borderId="49" xfId="0" applyNumberFormat="1" applyBorder="1" applyAlignment="1">
      <alignment horizontal="right"/>
    </xf>
    <xf numFmtId="44" fontId="0" fillId="0" borderId="48" xfId="0" applyNumberFormat="1" applyBorder="1" applyAlignment="1">
      <alignment horizontal="right"/>
    </xf>
    <xf numFmtId="44" fontId="0" fillId="0" borderId="29" xfId="0" applyNumberFormat="1" applyBorder="1" applyAlignment="1">
      <alignment horizontal="right"/>
    </xf>
    <xf numFmtId="44" fontId="0" fillId="0" borderId="74" xfId="0" applyNumberFormat="1" applyBorder="1" applyAlignment="1">
      <alignment horizontal="right"/>
    </xf>
    <xf numFmtId="0" fontId="25" fillId="17" borderId="10" xfId="2" applyFont="1" applyFill="1" applyBorder="1" applyAlignment="1">
      <alignment wrapText="1"/>
    </xf>
    <xf numFmtId="0" fontId="0" fillId="4" borderId="10" xfId="0" applyFont="1" applyFill="1" applyBorder="1"/>
    <xf numFmtId="0" fontId="0" fillId="0" borderId="10" xfId="0" applyFont="1" applyBorder="1"/>
    <xf numFmtId="0" fontId="9" fillId="20" borderId="10" xfId="0" applyFont="1" applyFill="1" applyBorder="1" applyAlignment="1">
      <alignment horizontal="left"/>
    </xf>
    <xf numFmtId="0" fontId="0" fillId="4" borderId="10" xfId="0" applyFont="1" applyFill="1" applyBorder="1" applyAlignment="1">
      <alignment vertical="top" wrapText="1"/>
    </xf>
    <xf numFmtId="0" fontId="0" fillId="0" borderId="10" xfId="0" applyFont="1" applyBorder="1" applyAlignment="1">
      <alignment horizontal="center" vertical="center" wrapText="1"/>
    </xf>
    <xf numFmtId="0" fontId="0" fillId="20" borderId="10" xfId="0" applyFont="1" applyFill="1" applyBorder="1"/>
    <xf numFmtId="0" fontId="0" fillId="0" borderId="10" xfId="0" applyFont="1" applyBorder="1" applyAlignment="1">
      <alignment horizontal="left"/>
    </xf>
    <xf numFmtId="0" fontId="0" fillId="17" borderId="10" xfId="0" applyFont="1" applyFill="1" applyBorder="1"/>
    <xf numFmtId="0" fontId="0" fillId="20" borderId="10" xfId="0" applyFont="1" applyFill="1" applyBorder="1" applyAlignment="1">
      <alignment vertical="top" wrapText="1"/>
    </xf>
    <xf numFmtId="0" fontId="0" fillId="17" borderId="10" xfId="0" applyFont="1" applyFill="1" applyBorder="1" applyAlignment="1">
      <alignment wrapText="1"/>
    </xf>
    <xf numFmtId="0" fontId="0" fillId="20" borderId="10" xfId="0" applyFont="1" applyFill="1" applyBorder="1" applyAlignment="1">
      <alignment wrapText="1"/>
    </xf>
    <xf numFmtId="0" fontId="9" fillId="17" borderId="10" xfId="0" applyFont="1" applyFill="1" applyBorder="1"/>
    <xf numFmtId="0" fontId="0" fillId="0" borderId="10" xfId="0" applyFont="1" applyFill="1" applyBorder="1"/>
    <xf numFmtId="0" fontId="84" fillId="0" borderId="10" xfId="4" applyFont="1" applyBorder="1"/>
    <xf numFmtId="0" fontId="84" fillId="20" borderId="10" xfId="4" applyFill="1" applyBorder="1"/>
    <xf numFmtId="0" fontId="0" fillId="0" borderId="55" xfId="0" applyFont="1" applyFill="1" applyBorder="1"/>
    <xf numFmtId="0" fontId="70" fillId="0" borderId="34" xfId="0" applyFont="1" applyBorder="1" applyAlignment="1" applyProtection="1">
      <alignment horizontal="center" vertical="center" wrapText="1" readingOrder="1"/>
    </xf>
    <xf numFmtId="0" fontId="26" fillId="3" borderId="0" xfId="0" applyFont="1" applyFill="1" applyAlignment="1">
      <alignment horizontal="left"/>
    </xf>
    <xf numFmtId="0" fontId="70" fillId="0" borderId="34" xfId="0" applyFont="1" applyBorder="1" applyAlignment="1" applyProtection="1">
      <alignment horizontal="left" vertical="center" wrapText="1" readingOrder="1"/>
    </xf>
    <xf numFmtId="0" fontId="70" fillId="0" borderId="81" xfId="0" applyFont="1" applyBorder="1" applyAlignment="1" applyProtection="1">
      <alignment horizontal="left" vertical="center" wrapText="1" readingOrder="1"/>
    </xf>
    <xf numFmtId="0" fontId="26" fillId="3" borderId="2" xfId="0" applyFont="1" applyFill="1" applyBorder="1" applyAlignment="1">
      <alignment horizontal="left" vertical="center"/>
    </xf>
    <xf numFmtId="0" fontId="0" fillId="0" borderId="0" xfId="0" applyFill="1" applyBorder="1"/>
    <xf numFmtId="0" fontId="73" fillId="0" borderId="10" xfId="0" applyFont="1" applyBorder="1" applyAlignment="1">
      <alignment vertical="center" wrapText="1" readingOrder="1"/>
    </xf>
    <xf numFmtId="0" fontId="26" fillId="3" borderId="36" xfId="0" applyFont="1" applyFill="1" applyBorder="1" applyAlignment="1" applyProtection="1">
      <alignment horizontal="left" vertical="center"/>
    </xf>
    <xf numFmtId="0" fontId="0" fillId="16" borderId="0" xfId="0" applyFill="1" applyAlignment="1">
      <alignment horizontal="center" vertical="top"/>
    </xf>
    <xf numFmtId="0" fontId="0" fillId="3" borderId="0" xfId="0" applyFill="1" applyBorder="1" applyAlignment="1">
      <alignment vertical="center" wrapText="1"/>
    </xf>
    <xf numFmtId="44" fontId="0" fillId="3" borderId="0" xfId="0" applyNumberFormat="1" applyFill="1" applyBorder="1"/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3" borderId="43" xfId="0" applyFill="1" applyBorder="1"/>
    <xf numFmtId="0" fontId="58" fillId="2" borderId="39" xfId="0" applyFont="1" applyFill="1" applyBorder="1" applyAlignment="1" applyProtection="1">
      <alignment horizontal="left" vertical="center"/>
      <protection locked="0"/>
    </xf>
    <xf numFmtId="0" fontId="24" fillId="3" borderId="0" xfId="0" applyFont="1" applyFill="1" applyAlignment="1">
      <alignment vertical="top" wrapText="1"/>
    </xf>
    <xf numFmtId="0" fontId="24" fillId="3" borderId="4" xfId="0" applyFont="1" applyFill="1" applyBorder="1" applyAlignment="1">
      <alignment vertical="top" wrapText="1"/>
    </xf>
    <xf numFmtId="0" fontId="0" fillId="3" borderId="0" xfId="0" applyFill="1" applyAlignment="1">
      <alignment vertical="top"/>
    </xf>
    <xf numFmtId="0" fontId="24" fillId="3" borderId="0" xfId="0" applyFont="1" applyFill="1" applyAlignment="1" applyProtection="1">
      <alignment vertical="center"/>
    </xf>
    <xf numFmtId="177" fontId="15" fillId="3" borderId="8" xfId="0" applyNumberFormat="1" applyFont="1" applyFill="1" applyBorder="1" applyAlignment="1" applyProtection="1"/>
    <xf numFmtId="0" fontId="72" fillId="3" borderId="0" xfId="0" applyFont="1" applyFill="1" applyAlignment="1" applyProtection="1"/>
    <xf numFmtId="0" fontId="72" fillId="3" borderId="8" xfId="0" applyFont="1" applyFill="1" applyBorder="1" applyAlignment="1" applyProtection="1"/>
    <xf numFmtId="175" fontId="15" fillId="3" borderId="0" xfId="0" applyNumberFormat="1" applyFont="1" applyFill="1" applyAlignment="1" applyProtection="1">
      <alignment horizontal="center" vertical="top"/>
    </xf>
    <xf numFmtId="177" fontId="15" fillId="3" borderId="0" xfId="0" applyNumberFormat="1" applyFont="1" applyFill="1" applyAlignment="1" applyProtection="1">
      <alignment vertical="top"/>
    </xf>
    <xf numFmtId="0" fontId="0" fillId="3" borderId="0" xfId="0" applyFill="1" applyBorder="1"/>
    <xf numFmtId="0" fontId="27" fillId="3" borderId="107" xfId="0" applyFont="1" applyFill="1" applyBorder="1" applyAlignment="1">
      <alignment horizontal="right" vertical="center"/>
    </xf>
    <xf numFmtId="0" fontId="26" fillId="3" borderId="35" xfId="0" applyFont="1" applyFill="1" applyBorder="1" applyAlignment="1">
      <alignment horizontal="center" vertical="center"/>
    </xf>
    <xf numFmtId="0" fontId="27" fillId="3" borderId="82" xfId="0" applyFont="1" applyFill="1" applyBorder="1" applyAlignment="1">
      <alignment horizontal="right" vertical="center"/>
    </xf>
    <xf numFmtId="0" fontId="58" fillId="2" borderId="84" xfId="0" applyFont="1" applyFill="1" applyBorder="1" applyAlignment="1" applyProtection="1">
      <alignment horizontal="center" vertical="center"/>
      <protection locked="0"/>
    </xf>
    <xf numFmtId="0" fontId="58" fillId="0" borderId="93" xfId="0" applyFont="1" applyFill="1" applyBorder="1" applyAlignment="1" applyProtection="1">
      <alignment horizontal="center" vertical="center"/>
    </xf>
    <xf numFmtId="0" fontId="58" fillId="21" borderId="86" xfId="0" applyFont="1" applyFill="1" applyBorder="1" applyAlignment="1" applyProtection="1">
      <alignment horizontal="center" vertical="center"/>
    </xf>
    <xf numFmtId="171" fontId="58" fillId="2" borderId="38" xfId="0" applyNumberFormat="1" applyFont="1" applyFill="1" applyBorder="1" applyAlignment="1" applyProtection="1">
      <alignment horizontal="center" vertical="center"/>
      <protection locked="0"/>
    </xf>
    <xf numFmtId="0" fontId="26" fillId="3" borderId="108" xfId="0" applyFont="1" applyFill="1" applyBorder="1" applyAlignment="1">
      <alignment horizontal="left" vertical="center"/>
    </xf>
    <xf numFmtId="0" fontId="58" fillId="0" borderId="109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171" fontId="58" fillId="0" borderId="0" xfId="0" applyNumberFormat="1" applyFont="1" applyFill="1" applyBorder="1" applyAlignment="1">
      <alignment horizontal="center" vertical="center"/>
    </xf>
    <xf numFmtId="171" fontId="58" fillId="0" borderId="0" xfId="0" applyNumberFormat="1" applyFont="1" applyFill="1" applyBorder="1" applyAlignment="1" applyProtection="1">
      <alignment horizontal="center" vertical="center"/>
      <protection locked="0"/>
    </xf>
    <xf numFmtId="3" fontId="58" fillId="0" borderId="0" xfId="0" applyNumberFormat="1" applyFont="1" applyFill="1" applyBorder="1" applyAlignment="1" applyProtection="1">
      <alignment horizontal="center" vertical="center"/>
    </xf>
    <xf numFmtId="167" fontId="58" fillId="3" borderId="0" xfId="0" applyNumberFormat="1" applyFont="1" applyFill="1" applyBorder="1" applyAlignment="1" applyProtection="1">
      <alignment horizontal="left"/>
    </xf>
    <xf numFmtId="3" fontId="54" fillId="0" borderId="13" xfId="0" applyNumberFormat="1" applyFont="1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73" xfId="0" applyBorder="1" applyAlignment="1">
      <alignment horizontal="center"/>
    </xf>
    <xf numFmtId="3" fontId="54" fillId="0" borderId="72" xfId="0" applyNumberFormat="1" applyFont="1" applyBorder="1" applyAlignment="1">
      <alignment horizontal="center" vertical="center"/>
    </xf>
    <xf numFmtId="3" fontId="54" fillId="0" borderId="73" xfId="0" applyNumberFormat="1" applyFont="1" applyBorder="1" applyAlignment="1">
      <alignment horizontal="center" vertical="center"/>
    </xf>
    <xf numFmtId="3" fontId="54" fillId="0" borderId="75" xfId="0" applyNumberFormat="1" applyFont="1" applyBorder="1" applyAlignment="1">
      <alignment horizontal="center" vertical="center"/>
    </xf>
    <xf numFmtId="3" fontId="54" fillId="0" borderId="76" xfId="0" applyNumberFormat="1" applyFont="1" applyBorder="1" applyAlignment="1">
      <alignment horizontal="center" vertical="center"/>
    </xf>
    <xf numFmtId="3" fontId="54" fillId="0" borderId="77" xfId="0" applyNumberFormat="1" applyFont="1" applyBorder="1" applyAlignment="1">
      <alignment horizontal="center" vertical="center"/>
    </xf>
    <xf numFmtId="0" fontId="12" fillId="3" borderId="0" xfId="0" applyFont="1" applyFill="1" applyAlignment="1">
      <alignment vertical="top"/>
    </xf>
    <xf numFmtId="49" fontId="70" fillId="0" borderId="33" xfId="0" applyNumberFormat="1" applyFont="1" applyFill="1" applyBorder="1" applyAlignment="1">
      <alignment horizontal="left" vertical="center" wrapText="1" readingOrder="1"/>
    </xf>
    <xf numFmtId="0" fontId="70" fillId="0" borderId="34" xfId="0" applyFont="1" applyFill="1" applyBorder="1" applyAlignment="1" applyProtection="1">
      <alignment horizontal="left" vertical="center" wrapText="1" readingOrder="1"/>
      <protection locked="0"/>
    </xf>
    <xf numFmtId="0" fontId="70" fillId="0" borderId="34" xfId="0" applyFont="1" applyFill="1" applyBorder="1" applyAlignment="1">
      <alignment horizontal="left" vertical="center" wrapText="1" readingOrder="1"/>
    </xf>
    <xf numFmtId="0" fontId="70" fillId="0" borderId="34" xfId="0" applyFont="1" applyFill="1" applyBorder="1" applyAlignment="1">
      <alignment horizontal="center" vertical="center" wrapText="1" readingOrder="1"/>
    </xf>
    <xf numFmtId="0" fontId="70" fillId="0" borderId="83" xfId="0" applyFont="1" applyFill="1" applyBorder="1" applyAlignment="1">
      <alignment horizontal="center" vertical="center" wrapText="1" readingOrder="1"/>
    </xf>
    <xf numFmtId="0" fontId="0" fillId="0" borderId="0" xfId="0" applyFill="1"/>
    <xf numFmtId="4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center" vertical="center"/>
    </xf>
    <xf numFmtId="44" fontId="0" fillId="0" borderId="0" xfId="0" applyNumberFormat="1" applyFill="1" applyBorder="1"/>
    <xf numFmtId="0" fontId="0" fillId="0" borderId="0" xfId="0" applyFill="1" applyAlignment="1">
      <alignment horizontal="right" vertical="center"/>
    </xf>
    <xf numFmtId="0" fontId="70" fillId="0" borderId="15" xfId="0" applyFont="1" applyBorder="1" applyAlignment="1">
      <alignment horizontal="left" vertical="center" wrapText="1" readingOrder="1"/>
    </xf>
    <xf numFmtId="0" fontId="0" fillId="17" borderId="15" xfId="0" applyFont="1" applyFill="1" applyBorder="1" applyAlignment="1">
      <alignment wrapText="1"/>
    </xf>
    <xf numFmtId="0" fontId="0" fillId="20" borderId="15" xfId="0" applyFont="1" applyFill="1" applyBorder="1" applyAlignment="1">
      <alignment wrapText="1"/>
    </xf>
    <xf numFmtId="0" fontId="0" fillId="0" borderId="0" xfId="0" applyFill="1" applyAlignment="1">
      <alignment horizontal="left" vertical="center"/>
    </xf>
    <xf numFmtId="0" fontId="73" fillId="0" borderId="33" xfId="0" applyFont="1" applyFill="1" applyBorder="1" applyAlignment="1">
      <alignment vertical="center"/>
    </xf>
    <xf numFmtId="0" fontId="70" fillId="0" borderId="34" xfId="0" applyFont="1" applyFill="1" applyBorder="1" applyAlignment="1" applyProtection="1">
      <alignment horizontal="center" vertical="center" wrapText="1" readingOrder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54" xfId="0" applyBorder="1" applyAlignment="1">
      <alignment horizontal="center"/>
    </xf>
    <xf numFmtId="0" fontId="23" fillId="0" borderId="0" xfId="0" applyFont="1" applyAlignment="1">
      <alignment horizontal="center"/>
    </xf>
    <xf numFmtId="0" fontId="86" fillId="3" borderId="0" xfId="0" applyFont="1" applyFill="1"/>
    <xf numFmtId="0" fontId="0" fillId="3" borderId="0" xfId="0" applyFill="1" applyAlignment="1"/>
    <xf numFmtId="0" fontId="70" fillId="0" borderId="34" xfId="0" applyFont="1" applyFill="1" applyBorder="1" applyAlignment="1" applyProtection="1">
      <alignment horizontal="left" vertical="center" wrapText="1" readingOrder="1"/>
    </xf>
    <xf numFmtId="0" fontId="70" fillId="0" borderId="80" xfId="0" applyFont="1" applyFill="1" applyBorder="1" applyAlignment="1">
      <alignment horizontal="center" vertical="center" wrapText="1" readingOrder="1"/>
    </xf>
    <xf numFmtId="0" fontId="70" fillId="0" borderId="42" xfId="0" applyFont="1" applyFill="1" applyBorder="1" applyAlignment="1">
      <alignment horizontal="center" vertical="center" wrapText="1" readingOrder="1"/>
    </xf>
    <xf numFmtId="0" fontId="70" fillId="0" borderId="80" xfId="0" applyFont="1" applyFill="1" applyBorder="1" applyAlignment="1" applyProtection="1">
      <alignment horizontal="center" vertical="center" wrapText="1" readingOrder="1"/>
      <protection locked="0"/>
    </xf>
    <xf numFmtId="49" fontId="70" fillId="0" borderId="35" xfId="0" applyNumberFormat="1" applyFont="1" applyFill="1" applyBorder="1" applyAlignment="1">
      <alignment horizontal="left" vertical="center" wrapText="1" readingOrder="1"/>
    </xf>
    <xf numFmtId="0" fontId="70" fillId="0" borderId="81" xfId="0" applyFont="1" applyFill="1" applyBorder="1" applyAlignment="1" applyProtection="1">
      <alignment horizontal="left" vertical="center" wrapText="1" readingOrder="1"/>
      <protection locked="0"/>
    </xf>
    <xf numFmtId="0" fontId="70" fillId="0" borderId="81" xfId="0" applyFont="1" applyFill="1" applyBorder="1" applyAlignment="1" applyProtection="1">
      <alignment horizontal="left" vertical="center" wrapText="1" readingOrder="1"/>
    </xf>
    <xf numFmtId="0" fontId="70" fillId="0" borderId="81" xfId="0" applyFont="1" applyFill="1" applyBorder="1" applyAlignment="1">
      <alignment horizontal="center" vertical="center" wrapText="1" readingOrder="1"/>
    </xf>
    <xf numFmtId="0" fontId="70" fillId="0" borderId="81" xfId="0" applyFont="1" applyFill="1" applyBorder="1" applyAlignment="1" applyProtection="1">
      <alignment horizontal="center" vertical="center" wrapText="1" readingOrder="1"/>
      <protection locked="0"/>
    </xf>
    <xf numFmtId="0" fontId="0" fillId="0" borderId="10" xfId="0" applyBorder="1" applyAlignment="1">
      <alignment horizontal="center"/>
    </xf>
    <xf numFmtId="170" fontId="43" fillId="3" borderId="0" xfId="0" applyNumberFormat="1" applyFont="1" applyFill="1" applyBorder="1" applyAlignment="1" applyProtection="1">
      <alignment vertical="top" wrapText="1"/>
    </xf>
    <xf numFmtId="0" fontId="70" fillId="2" borderId="34" xfId="0" applyFont="1" applyFill="1" applyBorder="1" applyAlignment="1" applyProtection="1">
      <alignment horizontal="center" vertical="center" wrapText="1" readingOrder="1"/>
      <protection locked="0"/>
    </xf>
    <xf numFmtId="0" fontId="0" fillId="0" borderId="10" xfId="0" applyFill="1" applyBorder="1"/>
    <xf numFmtId="0" fontId="0" fillId="0" borderId="10" xfId="0" applyFill="1" applyBorder="1" applyAlignment="1">
      <alignment vertical="center" wrapText="1" readingOrder="1"/>
    </xf>
    <xf numFmtId="0" fontId="84" fillId="0" borderId="10" xfId="4" applyBorder="1"/>
    <xf numFmtId="0" fontId="0" fillId="0" borderId="10" xfId="0" applyBorder="1" applyAlignment="1">
      <alignment vertical="center"/>
    </xf>
    <xf numFmtId="0" fontId="0" fillId="20" borderId="55" xfId="0" applyFont="1" applyFill="1" applyBorder="1"/>
    <xf numFmtId="0" fontId="9" fillId="0" borderId="0" xfId="0" applyFont="1" applyFill="1" applyBorder="1" applyAlignment="1">
      <alignment vertical="top" wrapText="1"/>
    </xf>
    <xf numFmtId="0" fontId="9" fillId="0" borderId="8" xfId="0" applyFont="1" applyFill="1" applyBorder="1" applyAlignment="1">
      <alignment vertical="top" wrapText="1"/>
    </xf>
    <xf numFmtId="0" fontId="0" fillId="0" borderId="10" xfId="0" applyBorder="1" applyAlignment="1">
      <alignment vertical="top"/>
    </xf>
    <xf numFmtId="0" fontId="15" fillId="3" borderId="22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23" fillId="0" borderId="0" xfId="0" applyFont="1" applyAlignment="1">
      <alignment horizontal="center"/>
    </xf>
    <xf numFmtId="0" fontId="18" fillId="0" borderId="22" xfId="0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23" xfId="0" applyFont="1" applyBorder="1" applyAlignment="1">
      <alignment horizontal="center" wrapText="1"/>
    </xf>
    <xf numFmtId="0" fontId="18" fillId="0" borderId="2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23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19" fillId="0" borderId="23" xfId="0" applyFont="1" applyBorder="1" applyAlignment="1">
      <alignment horizontal="center"/>
    </xf>
    <xf numFmtId="0" fontId="15" fillId="3" borderId="23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20" fillId="2" borderId="30" xfId="0" applyFont="1" applyFill="1" applyBorder="1" applyAlignment="1" applyProtection="1">
      <alignment horizontal="center"/>
      <protection locked="0"/>
    </xf>
    <xf numFmtId="0" fontId="20" fillId="2" borderId="32" xfId="0" applyFont="1" applyFill="1" applyBorder="1" applyAlignment="1" applyProtection="1">
      <alignment horizontal="center"/>
      <protection locked="0"/>
    </xf>
    <xf numFmtId="0" fontId="15" fillId="0" borderId="2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3" borderId="0" xfId="0" applyFont="1" applyFill="1" applyAlignment="1">
      <alignment horizontal="center" vertical="center" wrapText="1"/>
    </xf>
    <xf numFmtId="0" fontId="24" fillId="3" borderId="0" xfId="0" applyFont="1" applyFill="1" applyAlignment="1">
      <alignment horizontal="left" vertical="top" wrapText="1"/>
    </xf>
    <xf numFmtId="0" fontId="24" fillId="3" borderId="0" xfId="0" applyFont="1" applyFill="1" applyAlignment="1">
      <alignment horizontal="left" vertical="center" wrapText="1"/>
    </xf>
    <xf numFmtId="0" fontId="87" fillId="12" borderId="110" xfId="0" applyFont="1" applyFill="1" applyBorder="1" applyAlignment="1">
      <alignment horizontal="center" vertical="top" wrapText="1"/>
    </xf>
    <xf numFmtId="0" fontId="87" fillId="12" borderId="111" xfId="0" applyFont="1" applyFill="1" applyBorder="1" applyAlignment="1">
      <alignment horizontal="center" vertical="top" wrapText="1"/>
    </xf>
    <xf numFmtId="0" fontId="87" fillId="12" borderId="112" xfId="0" applyFont="1" applyFill="1" applyBorder="1" applyAlignment="1">
      <alignment horizontal="center" vertical="top" wrapText="1"/>
    </xf>
    <xf numFmtId="0" fontId="87" fillId="12" borderId="113" xfId="0" applyFont="1" applyFill="1" applyBorder="1" applyAlignment="1">
      <alignment horizontal="center" vertical="top" wrapText="1"/>
    </xf>
    <xf numFmtId="0" fontId="87" fillId="12" borderId="0" xfId="0" applyFont="1" applyFill="1" applyBorder="1" applyAlignment="1">
      <alignment horizontal="center" vertical="top" wrapText="1"/>
    </xf>
    <xf numFmtId="0" fontId="87" fillId="12" borderId="114" xfId="0" applyFont="1" applyFill="1" applyBorder="1" applyAlignment="1">
      <alignment horizontal="center" vertical="top" wrapText="1"/>
    </xf>
    <xf numFmtId="0" fontId="87" fillId="12" borderId="115" xfId="0" applyFont="1" applyFill="1" applyBorder="1" applyAlignment="1">
      <alignment horizontal="center" vertical="top" wrapText="1"/>
    </xf>
    <xf numFmtId="0" fontId="87" fillId="12" borderId="116" xfId="0" applyFont="1" applyFill="1" applyBorder="1" applyAlignment="1">
      <alignment horizontal="center" vertical="top" wrapText="1"/>
    </xf>
    <xf numFmtId="0" fontId="87" fillId="12" borderId="117" xfId="0" applyFont="1" applyFill="1" applyBorder="1" applyAlignment="1">
      <alignment horizontal="center" vertical="top" wrapText="1"/>
    </xf>
    <xf numFmtId="0" fontId="26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26" fillId="3" borderId="0" xfId="0" applyFont="1" applyFill="1" applyBorder="1" applyAlignment="1">
      <alignment horizontal="left" vertical="center" wrapText="1"/>
    </xf>
    <xf numFmtId="0" fontId="26" fillId="3" borderId="85" xfId="0" applyFont="1" applyFill="1" applyBorder="1" applyAlignment="1">
      <alignment horizontal="left" vertical="center"/>
    </xf>
    <xf numFmtId="0" fontId="26" fillId="3" borderId="90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left" vertical="top" wrapText="1"/>
    </xf>
    <xf numFmtId="168" fontId="30" fillId="3" borderId="0" xfId="0" applyNumberFormat="1" applyFont="1" applyFill="1" applyAlignment="1">
      <alignment horizontal="center"/>
    </xf>
    <xf numFmtId="180" fontId="80" fillId="3" borderId="4" xfId="0" applyNumberFormat="1" applyFont="1" applyFill="1" applyBorder="1" applyAlignment="1" applyProtection="1">
      <alignment horizontal="left" vertical="center" wrapText="1"/>
    </xf>
    <xf numFmtId="180" fontId="80" fillId="3" borderId="0" xfId="0" applyNumberFormat="1" applyFont="1" applyFill="1" applyAlignment="1" applyProtection="1">
      <alignment horizontal="left" vertical="center" wrapText="1"/>
    </xf>
    <xf numFmtId="0" fontId="79" fillId="3" borderId="105" xfId="0" applyFont="1" applyFill="1" applyBorder="1" applyAlignment="1">
      <alignment horizontal="left" vertical="center"/>
    </xf>
    <xf numFmtId="0" fontId="79" fillId="3" borderId="106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left" vertical="center" wrapText="1"/>
    </xf>
    <xf numFmtId="0" fontId="65" fillId="4" borderId="30" xfId="0" applyFont="1" applyFill="1" applyBorder="1" applyAlignment="1">
      <alignment horizontal="center" vertical="center"/>
    </xf>
    <xf numFmtId="0" fontId="65" fillId="4" borderId="31" xfId="0" applyFont="1" applyFill="1" applyBorder="1" applyAlignment="1">
      <alignment horizontal="center" vertical="center"/>
    </xf>
    <xf numFmtId="0" fontId="65" fillId="4" borderId="32" xfId="0" applyFont="1" applyFill="1" applyBorder="1" applyAlignment="1">
      <alignment horizontal="center" vertical="center"/>
    </xf>
    <xf numFmtId="0" fontId="0" fillId="19" borderId="2" xfId="0" applyFill="1" applyBorder="1" applyAlignment="1">
      <alignment horizontal="center"/>
    </xf>
    <xf numFmtId="0" fontId="0" fillId="19" borderId="28" xfId="0" applyFill="1" applyBorder="1" applyAlignment="1">
      <alignment horizontal="center"/>
    </xf>
    <xf numFmtId="0" fontId="0" fillId="19" borderId="7" xfId="0" applyFill="1" applyBorder="1" applyAlignment="1">
      <alignment horizontal="center"/>
    </xf>
    <xf numFmtId="0" fontId="0" fillId="19" borderId="4" xfId="0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0" fontId="0" fillId="19" borderId="8" xfId="0" applyFill="1" applyBorder="1" applyAlignment="1">
      <alignment horizontal="center"/>
    </xf>
    <xf numFmtId="0" fontId="0" fillId="19" borderId="5" xfId="0" applyFill="1" applyBorder="1" applyAlignment="1">
      <alignment horizontal="center"/>
    </xf>
    <xf numFmtId="0" fontId="0" fillId="19" borderId="9" xfId="0" applyFill="1" applyBorder="1" applyAlignment="1">
      <alignment horizontal="center"/>
    </xf>
    <xf numFmtId="0" fontId="0" fillId="19" borderId="24" xfId="0" applyFill="1" applyBorder="1" applyAlignment="1">
      <alignment horizontal="center"/>
    </xf>
    <xf numFmtId="0" fontId="24" fillId="0" borderId="4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5" fillId="16" borderId="28" xfId="0" applyFont="1" applyFill="1" applyBorder="1" applyAlignment="1">
      <alignment horizontal="center"/>
    </xf>
    <xf numFmtId="179" fontId="0" fillId="0" borderId="48" xfId="0" applyNumberFormat="1" applyBorder="1" applyAlignment="1">
      <alignment horizontal="center" vertical="top"/>
    </xf>
    <xf numFmtId="179" fontId="0" fillId="0" borderId="0" xfId="0" applyNumberFormat="1" applyBorder="1" applyAlignment="1">
      <alignment horizontal="center" vertical="top"/>
    </xf>
    <xf numFmtId="179" fontId="0" fillId="0" borderId="49" xfId="0" applyNumberFormat="1" applyBorder="1" applyAlignment="1">
      <alignment horizontal="center" vertical="top"/>
    </xf>
    <xf numFmtId="179" fontId="0" fillId="0" borderId="57" xfId="0" applyNumberFormat="1" applyBorder="1" applyAlignment="1">
      <alignment horizontal="center" vertical="top"/>
    </xf>
    <xf numFmtId="179" fontId="0" fillId="0" borderId="74" xfId="0" applyNumberFormat="1" applyBorder="1" applyAlignment="1">
      <alignment horizontal="center" vertical="top"/>
    </xf>
    <xf numFmtId="179" fontId="0" fillId="0" borderId="8" xfId="0" applyNumberFormat="1" applyBorder="1" applyAlignment="1">
      <alignment horizontal="center" vertical="top"/>
    </xf>
    <xf numFmtId="0" fontId="24" fillId="16" borderId="9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12" fillId="3" borderId="16" xfId="0" applyFont="1" applyFill="1" applyBorder="1" applyAlignment="1">
      <alignment vertical="center" wrapText="1"/>
    </xf>
    <xf numFmtId="0" fontId="12" fillId="3" borderId="25" xfId="0" applyFont="1" applyFill="1" applyBorder="1" applyAlignment="1">
      <alignment vertical="center" wrapText="1"/>
    </xf>
    <xf numFmtId="0" fontId="12" fillId="3" borderId="17" xfId="0" applyFont="1" applyFill="1" applyBorder="1" applyAlignment="1">
      <alignment vertical="center" wrapText="1"/>
    </xf>
    <xf numFmtId="0" fontId="7" fillId="5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16" borderId="11" xfId="0" applyFill="1" applyBorder="1" applyAlignment="1">
      <alignment horizontal="center"/>
    </xf>
    <xf numFmtId="0" fontId="0" fillId="16" borderId="54" xfId="0" applyFill="1" applyBorder="1" applyAlignment="1">
      <alignment horizontal="center"/>
    </xf>
    <xf numFmtId="0" fontId="0" fillId="16" borderId="13" xfId="0" applyFill="1" applyBorder="1" applyAlignment="1">
      <alignment horizontal="center"/>
    </xf>
    <xf numFmtId="1" fontId="24" fillId="0" borderId="15" xfId="0" applyNumberFormat="1" applyFont="1" applyBorder="1" applyAlignment="1">
      <alignment horizontal="center" vertical="center"/>
    </xf>
    <xf numFmtId="1" fontId="24" fillId="0" borderId="45" xfId="0" applyNumberFormat="1" applyFont="1" applyBorder="1" applyAlignment="1">
      <alignment horizontal="center" vertical="center"/>
    </xf>
    <xf numFmtId="1" fontId="24" fillId="0" borderId="15" xfId="0" applyNumberFormat="1" applyFont="1" applyBorder="1" applyAlignment="1">
      <alignment horizontal="center" vertical="top" wrapText="1"/>
    </xf>
    <xf numFmtId="1" fontId="24" fillId="0" borderId="45" xfId="0" applyNumberFormat="1" applyFont="1" applyBorder="1" applyAlignment="1">
      <alignment horizontal="center" vertical="top" wrapText="1"/>
    </xf>
    <xf numFmtId="1" fontId="35" fillId="0" borderId="10" xfId="0" applyNumberFormat="1" applyFont="1" applyBorder="1" applyAlignment="1">
      <alignment horizontal="center" vertical="center"/>
    </xf>
    <xf numFmtId="1" fontId="24" fillId="0" borderId="10" xfId="0" applyNumberFormat="1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 wrapText="1"/>
    </xf>
    <xf numFmtId="0" fontId="39" fillId="0" borderId="13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0" fontId="36" fillId="0" borderId="48" xfId="0" applyFont="1" applyBorder="1" applyAlignment="1">
      <alignment horizontal="center" vertical="center" wrapText="1"/>
    </xf>
    <xf numFmtId="0" fontId="36" fillId="0" borderId="49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6" fillId="0" borderId="47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47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166" fontId="41" fillId="0" borderId="10" xfId="0" applyNumberFormat="1" applyFont="1" applyBorder="1" applyAlignment="1">
      <alignment horizontal="center" vertical="top"/>
    </xf>
    <xf numFmtId="0" fontId="38" fillId="0" borderId="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49" xfId="0" applyBorder="1" applyAlignment="1">
      <alignment horizontal="center"/>
    </xf>
    <xf numFmtId="1" fontId="41" fillId="0" borderId="10" xfId="0" applyNumberFormat="1" applyFont="1" applyBorder="1" applyAlignment="1">
      <alignment horizontal="center" vertical="top"/>
    </xf>
    <xf numFmtId="1" fontId="42" fillId="0" borderId="10" xfId="0" applyNumberFormat="1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3" xfId="0" applyFont="1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24" fillId="0" borderId="1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/>
    </xf>
    <xf numFmtId="0" fontId="24" fillId="0" borderId="47" xfId="0" applyFont="1" applyBorder="1" applyAlignment="1">
      <alignment horizontal="center"/>
    </xf>
    <xf numFmtId="0" fontId="24" fillId="0" borderId="15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9" xfId="0" quotePrefix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60" xfId="0" quotePrefix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9" borderId="54" xfId="0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quotePrefix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70" xfId="0" quotePrefix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10" xfId="0" quotePrefix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6" xfId="0" quotePrefix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8" xfId="0" quotePrefix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57" fillId="3" borderId="15" xfId="0" applyFont="1" applyFill="1" applyBorder="1" applyAlignment="1">
      <alignment horizontal="left" textRotation="90" wrapText="1"/>
    </xf>
    <xf numFmtId="0" fontId="57" fillId="3" borderId="55" xfId="0" applyFont="1" applyFill="1" applyBorder="1" applyAlignment="1">
      <alignment horizontal="left" textRotation="90" wrapText="1"/>
    </xf>
    <xf numFmtId="0" fontId="57" fillId="3" borderId="45" xfId="0" applyFont="1" applyFill="1" applyBorder="1" applyAlignment="1">
      <alignment horizontal="left" textRotation="90" wrapText="1"/>
    </xf>
    <xf numFmtId="0" fontId="57" fillId="3" borderId="15" xfId="0" applyFont="1" applyFill="1" applyBorder="1" applyAlignment="1">
      <alignment horizontal="center" textRotation="90" wrapText="1"/>
    </xf>
    <xf numFmtId="0" fontId="57" fillId="3" borderId="55" xfId="0" applyFont="1" applyFill="1" applyBorder="1" applyAlignment="1">
      <alignment horizontal="center" textRotation="90" wrapText="1"/>
    </xf>
    <xf numFmtId="0" fontId="57" fillId="3" borderId="45" xfId="0" applyFont="1" applyFill="1" applyBorder="1" applyAlignment="1">
      <alignment horizontal="center" textRotation="90" wrapText="1"/>
    </xf>
    <xf numFmtId="0" fontId="0" fillId="0" borderId="30" xfId="0" quotePrefix="1" applyBorder="1" applyAlignment="1">
      <alignment horizontal="center"/>
    </xf>
    <xf numFmtId="0" fontId="35" fillId="0" borderId="2" xfId="0" applyFont="1" applyBorder="1" applyAlignment="1">
      <alignment horizontal="center" vertical="center"/>
    </xf>
    <xf numFmtId="0" fontId="35" fillId="0" borderId="28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9" xfId="0" quotePrefix="1" applyBorder="1" applyAlignment="1">
      <alignment horizontal="center" vertical="center"/>
    </xf>
    <xf numFmtId="0" fontId="15" fillId="0" borderId="11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24" fillId="0" borderId="96" xfId="0" applyFont="1" applyBorder="1" applyAlignment="1">
      <alignment horizontal="center"/>
    </xf>
    <xf numFmtId="0" fontId="24" fillId="0" borderId="78" xfId="0" applyFont="1" applyBorder="1" applyAlignment="1">
      <alignment horizontal="center"/>
    </xf>
    <xf numFmtId="0" fontId="24" fillId="0" borderId="61" xfId="0" applyFont="1" applyBorder="1" applyAlignment="1">
      <alignment horizontal="center"/>
    </xf>
    <xf numFmtId="0" fontId="69" fillId="3" borderId="6" xfId="0" applyFont="1" applyFill="1" applyBorder="1"/>
    <xf numFmtId="0" fontId="71" fillId="3" borderId="6" xfId="0" applyFont="1" applyFill="1" applyBorder="1" applyAlignment="1">
      <alignment horizontal="center"/>
    </xf>
    <xf numFmtId="0" fontId="70" fillId="0" borderId="38" xfId="0" applyFont="1" applyBorder="1" applyAlignment="1">
      <alignment horizontal="center" vertical="center" wrapText="1" readingOrder="1"/>
    </xf>
    <xf numFmtId="0" fontId="70" fillId="0" borderId="39" xfId="0" applyFont="1" applyBorder="1" applyAlignment="1">
      <alignment horizontal="center" vertical="center" wrapText="1" readingOrder="1"/>
    </xf>
    <xf numFmtId="0" fontId="70" fillId="0" borderId="38" xfId="0" applyFont="1" applyFill="1" applyBorder="1" applyAlignment="1">
      <alignment horizontal="center" vertical="center" wrapText="1" readingOrder="1"/>
    </xf>
    <xf numFmtId="0" fontId="70" fillId="0" borderId="39" xfId="0" applyFont="1" applyFill="1" applyBorder="1" applyAlignment="1">
      <alignment horizontal="center" vertical="center" wrapText="1" readingOrder="1"/>
    </xf>
  </cellXfs>
  <cellStyles count="5">
    <cellStyle name="Lien hypertexte" xfId="4" builtinId="8"/>
    <cellStyle name="Milliers" xfId="3" builtinId="3"/>
    <cellStyle name="Monétaire" xfId="1" builtinId="4"/>
    <cellStyle name="Normal" xfId="0" builtinId="0"/>
    <cellStyle name="Normal 5" xfId="2" xr:uid="{00000000-0005-0000-0000-000004000000}"/>
  </cellStyles>
  <dxfs count="80"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 patternType="darkGray">
          <bgColor theme="0" tint="-0.499984740745262"/>
        </patternFill>
      </fill>
    </dxf>
    <dxf>
      <fill>
        <patternFill patternType="darkGray">
          <bgColor theme="0" tint="-0.499984740745262"/>
        </patternFill>
      </fill>
    </dxf>
    <dxf>
      <fill>
        <patternFill>
          <bgColor theme="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>
          <bgColor theme="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 patternType="darkGray"/>
      </fill>
    </dxf>
    <dxf>
      <fill>
        <patternFill patternType="darkGray"/>
      </fill>
    </dxf>
    <dxf>
      <fill>
        <patternFill patternType="darkUp">
          <bgColor theme="1" tint="0.14996795556505021"/>
        </patternFill>
      </fill>
    </dxf>
    <dxf>
      <fill>
        <patternFill patternType="darkGray">
          <bgColor auto="1"/>
        </patternFill>
      </fill>
    </dxf>
    <dxf>
      <fill>
        <patternFill patternType="darkGray"/>
      </fill>
    </dxf>
    <dxf>
      <fill>
        <patternFill>
          <bgColor theme="0" tint="-0.499984740745262"/>
        </patternFill>
      </fill>
    </dxf>
    <dxf>
      <font>
        <color auto="1"/>
      </font>
      <fill>
        <patternFill>
          <bgColor theme="0" tint="-0.499984740745262"/>
        </patternFill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>
          <bgColor auto="1"/>
        </patternFill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>
          <bgColor auto="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 patternType="darkGray">
          <bgColor auto="1"/>
        </patternFill>
      </fill>
    </dxf>
  </dxfs>
  <tableStyles count="0" defaultTableStyle="TableStyleMedium2" defaultPivotStyle="PivotStyleLight16"/>
  <colors>
    <mruColors>
      <color rgb="FFFF6600"/>
      <color rgb="FF5F5F5F"/>
      <color rgb="FF706F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trlProps/ctrlProp1.xml><?xml version="1.0" encoding="utf-8"?>
<formControlPr xmlns="http://schemas.microsoft.com/office/spreadsheetml/2009/9/main" objectType="Drop" dropStyle="combo" dx="16" fmlaLink="Traduction!$B$1" fmlaRange="Traduction!$B$3:$B$6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jpeg"/><Relationship Id="rId3" Type="http://schemas.openxmlformats.org/officeDocument/2006/relationships/image" Target="../media/image7.emf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emf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emf"/><Relationship Id="rId24" Type="http://schemas.openxmlformats.org/officeDocument/2006/relationships/image" Target="../media/image28.png"/><Relationship Id="rId5" Type="http://schemas.openxmlformats.org/officeDocument/2006/relationships/image" Target="../media/image9.emf"/><Relationship Id="rId15" Type="http://schemas.openxmlformats.org/officeDocument/2006/relationships/image" Target="../media/image19.png"/><Relationship Id="rId23" Type="http://schemas.openxmlformats.org/officeDocument/2006/relationships/image" Target="../media/image27.emf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4" Type="http://schemas.openxmlformats.org/officeDocument/2006/relationships/image" Target="../media/image8.emf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7" Type="http://schemas.openxmlformats.org/officeDocument/2006/relationships/image" Target="../media/image43.jpe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jpe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7" Type="http://schemas.openxmlformats.org/officeDocument/2006/relationships/image" Target="../media/image43.jpe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jpe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12.png"/><Relationship Id="rId7" Type="http://schemas.openxmlformats.org/officeDocument/2006/relationships/image" Target="../media/image46.png"/><Relationship Id="rId12" Type="http://schemas.openxmlformats.org/officeDocument/2006/relationships/image" Target="../media/image5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45.png"/><Relationship Id="rId11" Type="http://schemas.openxmlformats.org/officeDocument/2006/relationships/image" Target="../media/image50.png"/><Relationship Id="rId5" Type="http://schemas.openxmlformats.org/officeDocument/2006/relationships/image" Target="../media/image14.png"/><Relationship Id="rId10" Type="http://schemas.openxmlformats.org/officeDocument/2006/relationships/image" Target="../media/image49.png"/><Relationship Id="rId4" Type="http://schemas.openxmlformats.org/officeDocument/2006/relationships/image" Target="../media/image13.png"/><Relationship Id="rId9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26" Type="http://schemas.openxmlformats.org/officeDocument/2006/relationships/image" Target="../media/image77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5" Type="http://schemas.openxmlformats.org/officeDocument/2006/relationships/image" Target="../media/image76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29" Type="http://schemas.openxmlformats.org/officeDocument/2006/relationships/image" Target="../media/image80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28" Type="http://schemas.openxmlformats.org/officeDocument/2006/relationships/image" Target="../media/image79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Relationship Id="rId27" Type="http://schemas.openxmlformats.org/officeDocument/2006/relationships/image" Target="../media/image78.png"/><Relationship Id="rId30" Type="http://schemas.openxmlformats.org/officeDocument/2006/relationships/image" Target="../media/image8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image" Target="../media/image32.emf"/><Relationship Id="rId1" Type="http://schemas.openxmlformats.org/officeDocument/2006/relationships/image" Target="../media/image31.emf"/><Relationship Id="rId6" Type="http://schemas.openxmlformats.org/officeDocument/2006/relationships/image" Target="../media/image36.emf"/><Relationship Id="rId5" Type="http://schemas.openxmlformats.org/officeDocument/2006/relationships/image" Target="../media/image35.emf"/><Relationship Id="rId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19050</xdr:rowOff>
    </xdr:from>
    <xdr:to>
      <xdr:col>2</xdr:col>
      <xdr:colOff>704850</xdr:colOff>
      <xdr:row>7</xdr:row>
      <xdr:rowOff>85725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19150"/>
          <a:ext cx="14382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40822</xdr:colOff>
      <xdr:row>18</xdr:row>
      <xdr:rowOff>54429</xdr:rowOff>
    </xdr:from>
    <xdr:to>
      <xdr:col>6</xdr:col>
      <xdr:colOff>299357</xdr:colOff>
      <xdr:row>21</xdr:row>
      <xdr:rowOff>149679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877786" y="5048250"/>
          <a:ext cx="2258785" cy="952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60782</xdr:colOff>
      <xdr:row>46</xdr:row>
      <xdr:rowOff>167160</xdr:rowOff>
    </xdr:from>
    <xdr:to>
      <xdr:col>16</xdr:col>
      <xdr:colOff>520961</xdr:colOff>
      <xdr:row>59</xdr:row>
      <xdr:rowOff>153566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0221" y="13084226"/>
          <a:ext cx="9236786" cy="3456228"/>
        </a:xfrm>
        <a:prstGeom prst="rect">
          <a:avLst/>
        </a:prstGeom>
      </xdr:spPr>
    </xdr:pic>
    <xdr:clientData/>
  </xdr:twoCellAnchor>
  <xdr:twoCellAnchor>
    <xdr:from>
      <xdr:col>5</xdr:col>
      <xdr:colOff>46654</xdr:colOff>
      <xdr:row>54</xdr:row>
      <xdr:rowOff>118577</xdr:rowOff>
    </xdr:from>
    <xdr:to>
      <xdr:col>5</xdr:col>
      <xdr:colOff>686188</xdr:colOff>
      <xdr:row>55</xdr:row>
      <xdr:rowOff>163286</xdr:rowOff>
    </xdr:to>
    <xdr:sp macro="" textlink="">
      <xdr:nvSpPr>
        <xdr:cNvPr id="11" name="Flèche droit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069384" y="15164189"/>
          <a:ext cx="639534" cy="3071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</xdr:col>
      <xdr:colOff>108857</xdr:colOff>
      <xdr:row>28</xdr:row>
      <xdr:rowOff>176892</xdr:rowOff>
    </xdr:from>
    <xdr:to>
      <xdr:col>16</xdr:col>
      <xdr:colOff>734787</xdr:colOff>
      <xdr:row>40</xdr:row>
      <xdr:rowOff>228568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3786" y="8137071"/>
          <a:ext cx="13035644" cy="3317391"/>
        </a:xfrm>
        <a:prstGeom prst="rect">
          <a:avLst/>
        </a:prstGeom>
      </xdr:spPr>
    </xdr:pic>
    <xdr:clientData/>
  </xdr:twoCellAnchor>
  <xdr:twoCellAnchor>
    <xdr:from>
      <xdr:col>15</xdr:col>
      <xdr:colOff>136071</xdr:colOff>
      <xdr:row>27</xdr:row>
      <xdr:rowOff>462643</xdr:rowOff>
    </xdr:from>
    <xdr:to>
      <xdr:col>15</xdr:col>
      <xdr:colOff>489857</xdr:colOff>
      <xdr:row>28</xdr:row>
      <xdr:rowOff>231321</xdr:rowOff>
    </xdr:to>
    <xdr:sp macro="" textlink="">
      <xdr:nvSpPr>
        <xdr:cNvPr id="4" name="Flèche vers le ba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028714" y="7824107"/>
          <a:ext cx="353786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369336</xdr:colOff>
      <xdr:row>41</xdr:row>
      <xdr:rowOff>95250</xdr:rowOff>
    </xdr:from>
    <xdr:to>
      <xdr:col>15</xdr:col>
      <xdr:colOff>709514</xdr:colOff>
      <xdr:row>42</xdr:row>
      <xdr:rowOff>190500</xdr:rowOff>
    </xdr:to>
    <xdr:sp macro="" textlink="">
      <xdr:nvSpPr>
        <xdr:cNvPr id="7" name="Flèche vers le hau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217270" y="11700199"/>
          <a:ext cx="340178" cy="357673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161663</xdr:colOff>
      <xdr:row>16</xdr:row>
      <xdr:rowOff>182726</xdr:rowOff>
    </xdr:from>
    <xdr:to>
      <xdr:col>7</xdr:col>
      <xdr:colOff>747983</xdr:colOff>
      <xdr:row>17</xdr:row>
      <xdr:rowOff>194821</xdr:rowOff>
    </xdr:to>
    <xdr:sp macro="" textlink="">
      <xdr:nvSpPr>
        <xdr:cNvPr id="20" name="Flèche droit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 flipH="1">
          <a:off x="5633678" y="4595328"/>
          <a:ext cx="586320" cy="293957"/>
        </a:xfrm>
        <a:prstGeom prst="rightArrow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156284</xdr:colOff>
      <xdr:row>18</xdr:row>
      <xdr:rowOff>148026</xdr:rowOff>
    </xdr:from>
    <xdr:to>
      <xdr:col>7</xdr:col>
      <xdr:colOff>742604</xdr:colOff>
      <xdr:row>19</xdr:row>
      <xdr:rowOff>160121</xdr:rowOff>
    </xdr:to>
    <xdr:sp macro="" textlink="">
      <xdr:nvSpPr>
        <xdr:cNvPr id="17" name="Flèche droite 1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5628299" y="5124353"/>
          <a:ext cx="586320" cy="293957"/>
        </a:xfrm>
        <a:prstGeom prst="rightArrow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136653</xdr:colOff>
      <xdr:row>14</xdr:row>
      <xdr:rowOff>3985</xdr:rowOff>
    </xdr:from>
    <xdr:to>
      <xdr:col>7</xdr:col>
      <xdr:colOff>722973</xdr:colOff>
      <xdr:row>15</xdr:row>
      <xdr:rowOff>23046</xdr:rowOff>
    </xdr:to>
    <xdr:sp macro="" textlink="">
      <xdr:nvSpPr>
        <xdr:cNvPr id="18" name="Flèche droite 1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flipH="1">
          <a:off x="5608668" y="3852863"/>
          <a:ext cx="586320" cy="300923"/>
        </a:xfrm>
        <a:prstGeom prst="rightArrow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2</xdr:col>
      <xdr:colOff>398495</xdr:colOff>
      <xdr:row>12</xdr:row>
      <xdr:rowOff>87475</xdr:rowOff>
    </xdr:from>
    <xdr:to>
      <xdr:col>6</xdr:col>
      <xdr:colOff>1493962</xdr:colOff>
      <xdr:row>26</xdr:row>
      <xdr:rowOff>150340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9592" y="3421225"/>
          <a:ext cx="3923809" cy="4038095"/>
        </a:xfrm>
        <a:prstGeom prst="rect">
          <a:avLst/>
        </a:prstGeom>
      </xdr:spPr>
    </xdr:pic>
    <xdr:clientData/>
  </xdr:twoCellAnchor>
  <xdr:twoCellAnchor>
    <xdr:from>
      <xdr:col>7</xdr:col>
      <xdr:colOff>143454</xdr:colOff>
      <xdr:row>21</xdr:row>
      <xdr:rowOff>67161</xdr:rowOff>
    </xdr:from>
    <xdr:to>
      <xdr:col>7</xdr:col>
      <xdr:colOff>729774</xdr:colOff>
      <xdr:row>22</xdr:row>
      <xdr:rowOff>79255</xdr:rowOff>
    </xdr:to>
    <xdr:sp macro="" textlink="">
      <xdr:nvSpPr>
        <xdr:cNvPr id="19" name="Flèche droite 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 flipH="1">
          <a:off x="5615469" y="5889074"/>
          <a:ext cx="586320" cy="293957"/>
        </a:xfrm>
        <a:prstGeom prst="rightArrow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159783</xdr:colOff>
      <xdr:row>25</xdr:row>
      <xdr:rowOff>151525</xdr:rowOff>
    </xdr:from>
    <xdr:to>
      <xdr:col>7</xdr:col>
      <xdr:colOff>746103</xdr:colOff>
      <xdr:row>26</xdr:row>
      <xdr:rowOff>85864</xdr:rowOff>
    </xdr:to>
    <xdr:sp macro="" textlink="">
      <xdr:nvSpPr>
        <xdr:cNvPr id="22" name="Flèche droite 19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flipH="1">
          <a:off x="5631798" y="7100887"/>
          <a:ext cx="586320" cy="293957"/>
        </a:xfrm>
        <a:prstGeom prst="rightArrow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72702</xdr:colOff>
      <xdr:row>56</xdr:row>
      <xdr:rowOff>66869</xdr:rowOff>
    </xdr:from>
    <xdr:to>
      <xdr:col>5</xdr:col>
      <xdr:colOff>712236</xdr:colOff>
      <xdr:row>57</xdr:row>
      <xdr:rowOff>111578</xdr:rowOff>
    </xdr:to>
    <xdr:sp macro="" textlink="">
      <xdr:nvSpPr>
        <xdr:cNvPr id="23" name="Flèche droite 1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3095432" y="15637328"/>
          <a:ext cx="639534" cy="3071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13</xdr:col>
      <xdr:colOff>728954</xdr:colOff>
      <xdr:row>46</xdr:row>
      <xdr:rowOff>97194</xdr:rowOff>
    </xdr:from>
    <xdr:to>
      <xdr:col>16</xdr:col>
      <xdr:colOff>680357</xdr:colOff>
      <xdr:row>59</xdr:row>
      <xdr:rowOff>194388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3D2E3F60-455A-422A-AA09-E222ED53CDBA}"/>
            </a:ext>
          </a:extLst>
        </xdr:cNvPr>
        <xdr:cNvSpPr/>
      </xdr:nvSpPr>
      <xdr:spPr>
        <a:xfrm>
          <a:off x="10982908" y="13014260"/>
          <a:ext cx="2303495" cy="356701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147638</xdr:colOff>
      <xdr:row>0</xdr:row>
      <xdr:rowOff>28574</xdr:rowOff>
    </xdr:from>
    <xdr:ext cx="710293" cy="722408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" y="28574"/>
          <a:ext cx="710293" cy="722408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1063965</xdr:colOff>
          <xdr:row>16</xdr:row>
          <xdr:rowOff>118475</xdr:rowOff>
        </xdr:from>
        <xdr:ext cx="2721525" cy="1392503"/>
        <xdr:pic>
          <xdr:nvPicPr>
            <xdr:cNvPr id="3" name="Image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7866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970715" y="6908439"/>
              <a:ext cx="2721525" cy="139250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607074</xdr:colOff>
          <xdr:row>27</xdr:row>
          <xdr:rowOff>69704</xdr:rowOff>
        </xdr:from>
        <xdr:ext cx="2731050" cy="1393839"/>
        <xdr:pic>
          <xdr:nvPicPr>
            <xdr:cNvPr id="4" name="Image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ignes" spid="_x0000_s7866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7833717" y="8927954"/>
              <a:ext cx="2731050" cy="139383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632206</xdr:colOff>
          <xdr:row>23</xdr:row>
          <xdr:rowOff>224669</xdr:rowOff>
        </xdr:from>
        <xdr:ext cx="2727240" cy="1393839"/>
        <xdr:pic>
          <xdr:nvPicPr>
            <xdr:cNvPr id="5" name="Image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ioclimatique" spid="_x0000_s7866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7858849" y="7341205"/>
              <a:ext cx="2727240" cy="139383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>
    <xdr:from>
      <xdr:col>7</xdr:col>
      <xdr:colOff>290652</xdr:colOff>
      <xdr:row>25</xdr:row>
      <xdr:rowOff>134470</xdr:rowOff>
    </xdr:from>
    <xdr:to>
      <xdr:col>7</xdr:col>
      <xdr:colOff>929388</xdr:colOff>
      <xdr:row>25</xdr:row>
      <xdr:rowOff>347382</xdr:rowOff>
    </xdr:to>
    <xdr:sp macro="" textlink="">
      <xdr:nvSpPr>
        <xdr:cNvPr id="6" name="Flèche droite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054527" y="3753970"/>
          <a:ext cx="638736" cy="60512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291353</xdr:colOff>
      <xdr:row>14</xdr:row>
      <xdr:rowOff>125133</xdr:rowOff>
    </xdr:from>
    <xdr:to>
      <xdr:col>7</xdr:col>
      <xdr:colOff>930089</xdr:colOff>
      <xdr:row>14</xdr:row>
      <xdr:rowOff>338045</xdr:rowOff>
    </xdr:to>
    <xdr:sp macro="" textlink="">
      <xdr:nvSpPr>
        <xdr:cNvPr id="7" name="Flèche droite 1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6055228" y="1839633"/>
          <a:ext cx="638736" cy="70037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305920</xdr:colOff>
      <xdr:row>28</xdr:row>
      <xdr:rowOff>108698</xdr:rowOff>
    </xdr:from>
    <xdr:to>
      <xdr:col>7</xdr:col>
      <xdr:colOff>944656</xdr:colOff>
      <xdr:row>28</xdr:row>
      <xdr:rowOff>321610</xdr:rowOff>
    </xdr:to>
    <xdr:sp macro="" textlink="">
      <xdr:nvSpPr>
        <xdr:cNvPr id="8" name="Flèche droite 1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6069795" y="4299698"/>
          <a:ext cx="638736" cy="79562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291353</xdr:colOff>
      <xdr:row>34</xdr:row>
      <xdr:rowOff>156883</xdr:rowOff>
    </xdr:from>
    <xdr:to>
      <xdr:col>7</xdr:col>
      <xdr:colOff>930089</xdr:colOff>
      <xdr:row>34</xdr:row>
      <xdr:rowOff>369795</xdr:rowOff>
    </xdr:to>
    <xdr:sp macro="" textlink="">
      <xdr:nvSpPr>
        <xdr:cNvPr id="9" name="Flèche droite 1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6055228" y="5300383"/>
          <a:ext cx="638736" cy="31937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620059</xdr:colOff>
          <xdr:row>33</xdr:row>
          <xdr:rowOff>18142</xdr:rowOff>
        </xdr:from>
        <xdr:ext cx="2719620" cy="2050654"/>
        <xdr:pic>
          <xdr:nvPicPr>
            <xdr:cNvPr id="10" name="Image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ED" spid="_x0000_s7866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7846702" y="10468428"/>
              <a:ext cx="2719620" cy="205065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>
    <xdr:from>
      <xdr:col>12</xdr:col>
      <xdr:colOff>336176</xdr:colOff>
      <xdr:row>35</xdr:row>
      <xdr:rowOff>229397</xdr:rowOff>
    </xdr:from>
    <xdr:to>
      <xdr:col>12</xdr:col>
      <xdr:colOff>570638</xdr:colOff>
      <xdr:row>36</xdr:row>
      <xdr:rowOff>19502</xdr:rowOff>
    </xdr:to>
    <xdr:sp macro="" textlink="">
      <xdr:nvSpPr>
        <xdr:cNvPr id="11" name="Organigramme : Jonction de sommai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2072226" y="5525297"/>
          <a:ext cx="234462" cy="18705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160812</xdr:colOff>
      <xdr:row>34</xdr:row>
      <xdr:rowOff>369795</xdr:rowOff>
    </xdr:from>
    <xdr:to>
      <xdr:col>12</xdr:col>
      <xdr:colOff>964265</xdr:colOff>
      <xdr:row>34</xdr:row>
      <xdr:rowOff>383474</xdr:rowOff>
    </xdr:to>
    <xdr:cxnSp macro="">
      <xdr:nvCxnSpPr>
        <xdr:cNvPr id="12" name="Connecteur droi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 flipV="1">
          <a:off x="21896862" y="5332320"/>
          <a:ext cx="803453" cy="4154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152801</xdr:colOff>
      <xdr:row>59</xdr:row>
      <xdr:rowOff>92316</xdr:rowOff>
    </xdr:from>
    <xdr:ext cx="1811699" cy="1376020"/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337" y="23265280"/>
          <a:ext cx="1811699" cy="1376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228783</xdr:colOff>
      <xdr:row>59</xdr:row>
      <xdr:rowOff>128513</xdr:rowOff>
    </xdr:from>
    <xdr:ext cx="1963050" cy="1344672"/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0426" y="23301477"/>
          <a:ext cx="1963050" cy="1344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22297</xdr:colOff>
      <xdr:row>62</xdr:row>
      <xdr:rowOff>431733</xdr:rowOff>
    </xdr:from>
    <xdr:ext cx="1999244" cy="1327026"/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047" y="24040126"/>
          <a:ext cx="1999244" cy="132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444798</xdr:colOff>
      <xdr:row>62</xdr:row>
      <xdr:rowOff>413489</xdr:rowOff>
    </xdr:from>
    <xdr:ext cx="1908373" cy="1290841"/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2655" y="24021882"/>
          <a:ext cx="1908373" cy="1290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39429</xdr:colOff>
      <xdr:row>67</xdr:row>
      <xdr:rowOff>19005</xdr:rowOff>
    </xdr:from>
    <xdr:ext cx="1968884" cy="1251036"/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965" y="24933684"/>
          <a:ext cx="1968884" cy="125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260224</xdr:colOff>
      <xdr:row>40</xdr:row>
      <xdr:rowOff>324970</xdr:rowOff>
    </xdr:from>
    <xdr:to>
      <xdr:col>7</xdr:col>
      <xdr:colOff>898960</xdr:colOff>
      <xdr:row>41</xdr:row>
      <xdr:rowOff>103966</xdr:rowOff>
    </xdr:to>
    <xdr:sp macro="" textlink="">
      <xdr:nvSpPr>
        <xdr:cNvPr id="18" name="Flèche droite 4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16024099" y="6668620"/>
          <a:ext cx="638736" cy="102846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624418</xdr:colOff>
          <xdr:row>38</xdr:row>
          <xdr:rowOff>66041</xdr:rowOff>
        </xdr:from>
        <xdr:ext cx="2731050" cy="2049416"/>
        <xdr:pic>
          <xdr:nvPicPr>
            <xdr:cNvPr id="19" name="Image 18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creen" spid="_x0000_s78670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8209949" y="15984697"/>
              <a:ext cx="2731050" cy="204941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oneCellAnchor>
    <xdr:from>
      <xdr:col>1</xdr:col>
      <xdr:colOff>2056169</xdr:colOff>
      <xdr:row>18</xdr:row>
      <xdr:rowOff>380855</xdr:rowOff>
    </xdr:from>
    <xdr:ext cx="1708561" cy="2362940"/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0689" t="16559" r="39716" b="4444"/>
        <a:stretch/>
      </xdr:blipFill>
      <xdr:spPr>
        <a:xfrm>
          <a:off x="3838705" y="8232176"/>
          <a:ext cx="1708561" cy="236294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2</xdr:col>
      <xdr:colOff>2248656</xdr:colOff>
      <xdr:row>20</xdr:row>
      <xdr:rowOff>306417</xdr:rowOff>
    </xdr:from>
    <xdr:to>
      <xdr:col>4</xdr:col>
      <xdr:colOff>340065</xdr:colOff>
      <xdr:row>24</xdr:row>
      <xdr:rowOff>32706</xdr:rowOff>
    </xdr:to>
    <xdr:grpSp>
      <xdr:nvGrpSpPr>
        <xdr:cNvPr id="21" name="Group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5915781" y="8902730"/>
          <a:ext cx="1687097" cy="1488414"/>
          <a:chOff x="1070486" y="5039045"/>
          <a:chExt cx="1857566" cy="1473339"/>
        </a:xfrm>
      </xdr:grpSpPr>
      <xdr:pic>
        <xdr:nvPicPr>
          <xdr:cNvPr id="22" name="Image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/>
          <a:srcRect l="16314" r="23239" b="10739"/>
          <a:stretch/>
        </xdr:blipFill>
        <xdr:spPr>
          <a:xfrm>
            <a:off x="1092006" y="5039045"/>
            <a:ext cx="1836046" cy="1426779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cxnSp macro="">
        <xdr:nvCxnSpPr>
          <xdr:cNvPr id="23" name="Connecteur droit avec flèche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CxnSpPr/>
        </xdr:nvCxnSpPr>
        <xdr:spPr>
          <a:xfrm flipH="1">
            <a:off x="1457411" y="5943263"/>
            <a:ext cx="246626" cy="125384"/>
          </a:xfrm>
          <a:prstGeom prst="straightConnector1">
            <a:avLst/>
          </a:prstGeom>
          <a:ln w="19050">
            <a:solidFill>
              <a:srgbClr val="FF0000"/>
            </a:solidFill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Connecteur droit avec flèche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>
            <a:off x="2184888" y="6007249"/>
            <a:ext cx="196080" cy="156464"/>
          </a:xfrm>
          <a:prstGeom prst="straightConnector1">
            <a:avLst/>
          </a:prstGeom>
          <a:ln w="19050">
            <a:solidFill>
              <a:srgbClr val="FF0000"/>
            </a:solidFill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ZoneTexte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070486" y="6127659"/>
            <a:ext cx="934316" cy="3586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/>
              <a:t>+75mm</a:t>
            </a:r>
          </a:p>
        </xdr:txBody>
      </xdr:sp>
      <xdr:sp macro="" textlink="">
        <xdr:nvSpPr>
          <xdr:cNvPr id="26" name="ZoneText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2204052" y="6193825"/>
            <a:ext cx="697762" cy="3185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/>
              <a:t>+75 mm</a:t>
            </a:r>
          </a:p>
        </xdr:txBody>
      </xdr:sp>
    </xdr:grpSp>
    <xdr:clientData/>
  </xdr:twoCellAnchor>
  <xdr:oneCellAnchor>
    <xdr:from>
      <xdr:col>2</xdr:col>
      <xdr:colOff>176893</xdr:colOff>
      <xdr:row>39</xdr:row>
      <xdr:rowOff>171716</xdr:rowOff>
    </xdr:from>
    <xdr:ext cx="4138434" cy="2341092"/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96" t="19489" r="20501" b="14672"/>
        <a:stretch/>
      </xdr:blipFill>
      <xdr:spPr>
        <a:xfrm>
          <a:off x="4068536" y="15493359"/>
          <a:ext cx="4138434" cy="234109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3</xdr:col>
      <xdr:colOff>557993</xdr:colOff>
      <xdr:row>31</xdr:row>
      <xdr:rowOff>222881</xdr:rowOff>
    </xdr:from>
    <xdr:to>
      <xdr:col>4</xdr:col>
      <xdr:colOff>308565</xdr:colOff>
      <xdr:row>31</xdr:row>
      <xdr:rowOff>401169</xdr:rowOff>
    </xdr:to>
    <xdr:sp macro="" textlink="">
      <xdr:nvSpPr>
        <xdr:cNvPr id="28" name="Flèche droite 58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 flipH="1">
          <a:off x="6539693" y="4766306"/>
          <a:ext cx="893572" cy="0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281081</xdr:colOff>
      <xdr:row>27</xdr:row>
      <xdr:rowOff>128174</xdr:rowOff>
    </xdr:from>
    <xdr:to>
      <xdr:col>3</xdr:col>
      <xdr:colOff>209180</xdr:colOff>
      <xdr:row>37</xdr:row>
      <xdr:rowOff>285123</xdr:rowOff>
    </xdr:to>
    <xdr:grpSp>
      <xdr:nvGrpSpPr>
        <xdr:cNvPr id="29" name="Group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pSpPr/>
      </xdr:nvGrpSpPr>
      <xdr:grpSpPr>
        <a:xfrm>
          <a:off x="3948206" y="11808205"/>
          <a:ext cx="2380787" cy="3955043"/>
          <a:chOff x="3812694" y="8283155"/>
          <a:chExt cx="2162221" cy="4029885"/>
        </a:xfrm>
      </xdr:grpSpPr>
      <xdr:pic>
        <xdr:nvPicPr>
          <xdr:cNvPr id="30" name="Image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216" t="3598" r="13771" b="15821"/>
          <a:stretch/>
        </xdr:blipFill>
        <xdr:spPr>
          <a:xfrm>
            <a:off x="3867835" y="10749320"/>
            <a:ext cx="2097091" cy="1563720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pic>
        <xdr:nvPicPr>
          <xdr:cNvPr id="31" name="Image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694" t="2528" r="29861" b="10899"/>
          <a:stretch/>
        </xdr:blipFill>
        <xdr:spPr>
          <a:xfrm>
            <a:off x="3812694" y="8283155"/>
            <a:ext cx="2162221" cy="2207997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32" name="Ellipse 31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4370111" y="9696864"/>
            <a:ext cx="762000" cy="474696"/>
          </a:xfrm>
          <a:prstGeom prst="ellipse">
            <a:avLst/>
          </a:prstGeom>
          <a:noFill/>
          <a:ln w="190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cxnSp macro="">
        <xdr:nvCxnSpPr>
          <xdr:cNvPr id="33" name="Connecteur droit avec flèche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CxnSpPr/>
        </xdr:nvCxnSpPr>
        <xdr:spPr>
          <a:xfrm flipH="1">
            <a:off x="4286298" y="9473684"/>
            <a:ext cx="183029" cy="1526741"/>
          </a:xfrm>
          <a:prstGeom prst="straightConnector1">
            <a:avLst/>
          </a:prstGeom>
          <a:ln w="38100"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Double flèche horizontale 64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4536331" y="10065524"/>
            <a:ext cx="476250" cy="250031"/>
          </a:xfrm>
          <a:prstGeom prst="leftRightArrow">
            <a:avLst/>
          </a:prstGeom>
          <a:scene3d>
            <a:camera prst="orthographicFront">
              <a:rot lat="0" lon="0" rev="600000"/>
            </a:camera>
            <a:lightRig rig="threePt" dir="t"/>
          </a:scene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35" name="Double flèche horizontale 65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3955725" y="9480870"/>
            <a:ext cx="476250" cy="250031"/>
          </a:xfrm>
          <a:prstGeom prst="leftRightArrow">
            <a:avLst/>
          </a:prstGeom>
          <a:scene3d>
            <a:camera prst="orthographicFront">
              <a:rot lat="0" lon="0" rev="600000"/>
            </a:camera>
            <a:lightRig rig="threePt" dir="t"/>
          </a:scene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3</xdr:col>
      <xdr:colOff>242267</xdr:colOff>
      <xdr:row>18</xdr:row>
      <xdr:rowOff>188158</xdr:rowOff>
    </xdr:from>
    <xdr:to>
      <xdr:col>4</xdr:col>
      <xdr:colOff>571499</xdr:colOff>
      <xdr:row>20</xdr:row>
      <xdr:rowOff>174624</xdr:rowOff>
    </xdr:to>
    <xdr:sp macro="" textlink="">
      <xdr:nvSpPr>
        <xdr:cNvPr id="36" name="Flèche à angle droit 6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 flipH="1" flipV="1">
          <a:off x="6354142" y="7966908"/>
          <a:ext cx="1472232" cy="875466"/>
        </a:xfrm>
        <a:prstGeom prst="bentUpArrow">
          <a:avLst>
            <a:gd name="adj1" fmla="val 15224"/>
            <a:gd name="adj2" fmla="val 24022"/>
            <a:gd name="adj3" fmla="val 2109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fr-F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214002</xdr:colOff>
      <xdr:row>16</xdr:row>
      <xdr:rowOff>30008</xdr:rowOff>
    </xdr:from>
    <xdr:ext cx="2262473" cy="1433090"/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1" t="19853" r="48307" b="42963"/>
        <a:stretch/>
      </xdr:blipFill>
      <xdr:spPr>
        <a:xfrm>
          <a:off x="214002" y="7010472"/>
          <a:ext cx="2262473" cy="14330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214002</xdr:colOff>
      <xdr:row>20</xdr:row>
      <xdr:rowOff>295390</xdr:rowOff>
    </xdr:from>
    <xdr:ext cx="2757855" cy="1677553"/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17647" r="43181" b="38866"/>
        <a:stretch/>
      </xdr:blipFill>
      <xdr:spPr>
        <a:xfrm>
          <a:off x="214002" y="8391640"/>
          <a:ext cx="2757855" cy="167755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200396</xdr:colOff>
      <xdr:row>30</xdr:row>
      <xdr:rowOff>153428</xdr:rowOff>
    </xdr:from>
    <xdr:ext cx="2776387" cy="1806423"/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31" t="10083" r="38057" b="39655"/>
        <a:stretch/>
      </xdr:blipFill>
      <xdr:spPr>
        <a:xfrm>
          <a:off x="200396" y="12209357"/>
          <a:ext cx="2776387" cy="180642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200397</xdr:colOff>
      <xdr:row>35</xdr:row>
      <xdr:rowOff>319705</xdr:rowOff>
    </xdr:from>
    <xdr:ext cx="2645800" cy="2009853"/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44" t="3150" r="36275" b="42019"/>
        <a:stretch/>
      </xdr:blipFill>
      <xdr:spPr>
        <a:xfrm>
          <a:off x="200397" y="14117348"/>
          <a:ext cx="2645800" cy="200985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186789</xdr:colOff>
      <xdr:row>40</xdr:row>
      <xdr:rowOff>416971</xdr:rowOff>
    </xdr:from>
    <xdr:ext cx="2871703" cy="1929369"/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7" t="1103" r="30371" b="40127"/>
        <a:stretch/>
      </xdr:blipFill>
      <xdr:spPr>
        <a:xfrm>
          <a:off x="186789" y="16174042"/>
          <a:ext cx="2871703" cy="192936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  <xdr:twoCellAnchor>
    <xdr:from>
      <xdr:col>2</xdr:col>
      <xdr:colOff>801500</xdr:colOff>
      <xdr:row>17</xdr:row>
      <xdr:rowOff>186885</xdr:rowOff>
    </xdr:from>
    <xdr:to>
      <xdr:col>4</xdr:col>
      <xdr:colOff>450888</xdr:colOff>
      <xdr:row>18</xdr:row>
      <xdr:rowOff>231658</xdr:rowOff>
    </xdr:to>
    <xdr:sp macro="" textlink="">
      <xdr:nvSpPr>
        <xdr:cNvPr id="42" name="Flèche à angle droit 7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 flipH="1" flipV="1">
          <a:off x="4335275" y="2472885"/>
          <a:ext cx="3240313" cy="197173"/>
        </a:xfrm>
        <a:prstGeom prst="bentUp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fr-F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456708</xdr:colOff>
      <xdr:row>36</xdr:row>
      <xdr:rowOff>219849</xdr:rowOff>
    </xdr:from>
    <xdr:to>
      <xdr:col>4</xdr:col>
      <xdr:colOff>394860</xdr:colOff>
      <xdr:row>39</xdr:row>
      <xdr:rowOff>95250</xdr:rowOff>
    </xdr:to>
    <xdr:sp macro="" textlink="">
      <xdr:nvSpPr>
        <xdr:cNvPr id="43" name="Flèche à angle droit 73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 flipH="1" flipV="1">
          <a:off x="6797637" y="14452920"/>
          <a:ext cx="1081152" cy="963973"/>
        </a:xfrm>
        <a:prstGeom prst="bentUpArrow">
          <a:avLst>
            <a:gd name="adj1" fmla="val 13526"/>
            <a:gd name="adj2" fmla="val 12620"/>
            <a:gd name="adj3" fmla="val 12318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fr-F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2</xdr:col>
      <xdr:colOff>609740</xdr:colOff>
      <xdr:row>9</xdr:row>
      <xdr:rowOff>188027</xdr:rowOff>
    </xdr:from>
    <xdr:ext cx="3061154" cy="3183246"/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1972" t="5767" r="23822" b="7396"/>
        <a:stretch/>
      </xdr:blipFill>
      <xdr:spPr>
        <a:xfrm>
          <a:off x="4283669" y="3657848"/>
          <a:ext cx="3061154" cy="318324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43048</xdr:colOff>
          <xdr:row>14</xdr:row>
          <xdr:rowOff>363683</xdr:rowOff>
        </xdr:from>
        <xdr:ext cx="3392789" cy="1403364"/>
        <xdr:pic>
          <xdr:nvPicPr>
            <xdr:cNvPr id="45" name="Image 44">
              <a:extLst>
                <a:ext uri="{FF2B5EF4-FFF2-40B4-BE49-F238E27FC236}">
                  <a16:creationId xmlns:a16="http://schemas.microsoft.com/office/drawing/2014/main" id="{00000000-0008-0000-0100-00002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imensions" spid="_x0000_s78671"/>
                </a:ext>
              </a:extLst>
            </xdr:cNvPicPr>
          </xdr:nvPicPr>
          <xdr:blipFill>
            <a:blip xmlns:r="http://schemas.openxmlformats.org/officeDocument/2006/relationships" r:embed="rId23"/>
            <a:srcRect/>
            <a:stretch>
              <a:fillRect/>
            </a:stretch>
          </xdr:blipFill>
          <xdr:spPr bwMode="auto">
            <a:xfrm>
              <a:off x="20753119" y="6282790"/>
              <a:ext cx="3392789" cy="1403364"/>
            </a:xfrm>
            <a:prstGeom prst="rect">
              <a:avLst/>
            </a:prstGeom>
            <a:noFill/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 editAs="oneCell">
    <xdr:from>
      <xdr:col>5</xdr:col>
      <xdr:colOff>5215349</xdr:colOff>
      <xdr:row>58</xdr:row>
      <xdr:rowOff>307764</xdr:rowOff>
    </xdr:from>
    <xdr:to>
      <xdr:col>8</xdr:col>
      <xdr:colOff>447447</xdr:colOff>
      <xdr:row>67</xdr:row>
      <xdr:rowOff>942451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570135" y="21303585"/>
          <a:ext cx="4697681" cy="455354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5</xdr:col>
      <xdr:colOff>517071</xdr:colOff>
      <xdr:row>58</xdr:row>
      <xdr:rowOff>326572</xdr:rowOff>
    </xdr:from>
    <xdr:to>
      <xdr:col>5</xdr:col>
      <xdr:colOff>4617294</xdr:colOff>
      <xdr:row>67</xdr:row>
      <xdr:rowOff>963533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871857" y="21322393"/>
          <a:ext cx="4100223" cy="4549468"/>
        </a:xfrm>
        <a:prstGeom prst="rect">
          <a:avLst/>
        </a:prstGeom>
        <a:ln>
          <a:solidFill>
            <a:schemeClr val="accent1"/>
          </a:solidFill>
        </a:ln>
        <a:effectLst>
          <a:outerShdw blurRad="50800" dist="50800" dir="5400000" algn="ctr" rotWithShape="0">
            <a:schemeClr val="bg1"/>
          </a:outerShdw>
        </a:effectLst>
      </xdr:spPr>
    </xdr:pic>
    <xdr:clientData/>
  </xdr:twoCellAnchor>
  <xdr:twoCellAnchor editAs="oneCell">
    <xdr:from>
      <xdr:col>0</xdr:col>
      <xdr:colOff>217715</xdr:colOff>
      <xdr:row>24</xdr:row>
      <xdr:rowOff>353785</xdr:rowOff>
    </xdr:from>
    <xdr:to>
      <xdr:col>1</xdr:col>
      <xdr:colOff>1143001</xdr:colOff>
      <xdr:row>30</xdr:row>
      <xdr:rowOff>11736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10191749"/>
          <a:ext cx="2707822" cy="2114494"/>
        </a:xfrm>
        <a:prstGeom prst="rect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147638</xdr:colOff>
      <xdr:row>0</xdr:row>
      <xdr:rowOff>28574</xdr:rowOff>
    </xdr:from>
    <xdr:ext cx="710293" cy="722408"/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" y="28574"/>
          <a:ext cx="710293" cy="72240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171728</xdr:colOff>
      <xdr:row>29</xdr:row>
      <xdr:rowOff>173005</xdr:rowOff>
    </xdr:from>
    <xdr:to>
      <xdr:col>14</xdr:col>
      <xdr:colOff>971939</xdr:colOff>
      <xdr:row>32</xdr:row>
      <xdr:rowOff>116122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9678" y="5678455"/>
          <a:ext cx="1019286" cy="514617"/>
        </a:xfrm>
        <a:prstGeom prst="rect">
          <a:avLst/>
        </a:prstGeom>
      </xdr:spPr>
    </xdr:pic>
    <xdr:clientData/>
  </xdr:twoCellAnchor>
  <xdr:twoCellAnchor editAs="oneCell">
    <xdr:from>
      <xdr:col>4</xdr:col>
      <xdr:colOff>113524</xdr:colOff>
      <xdr:row>29</xdr:row>
      <xdr:rowOff>156379</xdr:rowOff>
    </xdr:from>
    <xdr:to>
      <xdr:col>4</xdr:col>
      <xdr:colOff>849575</xdr:colOff>
      <xdr:row>32</xdr:row>
      <xdr:rowOff>124232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3599" y="5661829"/>
          <a:ext cx="736051" cy="539353"/>
        </a:xfrm>
        <a:prstGeom prst="rect">
          <a:avLst/>
        </a:prstGeom>
      </xdr:spPr>
    </xdr:pic>
    <xdr:clientData/>
  </xdr:twoCellAnchor>
  <xdr:twoCellAnchor editAs="oneCell">
    <xdr:from>
      <xdr:col>6</xdr:col>
      <xdr:colOff>47319</xdr:colOff>
      <xdr:row>29</xdr:row>
      <xdr:rowOff>176908</xdr:rowOff>
    </xdr:from>
    <xdr:to>
      <xdr:col>6</xdr:col>
      <xdr:colOff>940185</xdr:colOff>
      <xdr:row>32</xdr:row>
      <xdr:rowOff>135621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7544" y="5682358"/>
          <a:ext cx="892866" cy="530213"/>
        </a:xfrm>
        <a:prstGeom prst="rect">
          <a:avLst/>
        </a:prstGeom>
      </xdr:spPr>
    </xdr:pic>
    <xdr:clientData/>
  </xdr:twoCellAnchor>
  <xdr:twoCellAnchor editAs="oneCell">
    <xdr:from>
      <xdr:col>10</xdr:col>
      <xdr:colOff>12328</xdr:colOff>
      <xdr:row>29</xdr:row>
      <xdr:rowOff>168620</xdr:rowOff>
    </xdr:from>
    <xdr:to>
      <xdr:col>10</xdr:col>
      <xdr:colOff>955697</xdr:colOff>
      <xdr:row>32</xdr:row>
      <xdr:rowOff>105554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2853" y="5674070"/>
          <a:ext cx="943369" cy="508434"/>
        </a:xfrm>
        <a:prstGeom prst="rect">
          <a:avLst/>
        </a:prstGeom>
      </xdr:spPr>
    </xdr:pic>
    <xdr:clientData/>
  </xdr:twoCellAnchor>
  <xdr:twoCellAnchor editAs="oneCell">
    <xdr:from>
      <xdr:col>12</xdr:col>
      <xdr:colOff>49847</xdr:colOff>
      <xdr:row>29</xdr:row>
      <xdr:rowOff>177112</xdr:rowOff>
    </xdr:from>
    <xdr:to>
      <xdr:col>12</xdr:col>
      <xdr:colOff>935791</xdr:colOff>
      <xdr:row>32</xdr:row>
      <xdr:rowOff>99616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60522" y="5682562"/>
          <a:ext cx="885944" cy="49400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9720</xdr:rowOff>
    </xdr:from>
    <xdr:to>
      <xdr:col>1</xdr:col>
      <xdr:colOff>507741</xdr:colOff>
      <xdr:row>1</xdr:row>
      <xdr:rowOff>304995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720"/>
          <a:ext cx="736341" cy="714375"/>
        </a:xfrm>
        <a:prstGeom prst="rect">
          <a:avLst/>
        </a:prstGeom>
      </xdr:spPr>
    </xdr:pic>
    <xdr:clientData/>
  </xdr:twoCellAnchor>
  <xdr:twoCellAnchor>
    <xdr:from>
      <xdr:col>8</xdr:col>
      <xdr:colOff>8071</xdr:colOff>
      <xdr:row>30</xdr:row>
      <xdr:rowOff>15714</xdr:rowOff>
    </xdr:from>
    <xdr:to>
      <xdr:col>8</xdr:col>
      <xdr:colOff>960572</xdr:colOff>
      <xdr:row>32</xdr:row>
      <xdr:rowOff>145296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pSpPr/>
      </xdr:nvGrpSpPr>
      <xdr:grpSpPr>
        <a:xfrm>
          <a:off x="6805913" y="5800898"/>
          <a:ext cx="952501" cy="510582"/>
          <a:chOff x="6828940" y="5779146"/>
          <a:chExt cx="952501" cy="517040"/>
        </a:xfrm>
      </xdr:grpSpPr>
      <xdr:pic>
        <xdr:nvPicPr>
          <xdr:cNvPr id="9" name="Image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28940" y="5779146"/>
            <a:ext cx="936357" cy="317301"/>
          </a:xfrm>
          <a:prstGeom prst="rect">
            <a:avLst/>
          </a:prstGeom>
        </xdr:spPr>
      </xdr:pic>
      <xdr:sp macro="" textlink="">
        <xdr:nvSpPr>
          <xdr:cNvPr id="10" name="ZoneTexte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 flipH="1">
            <a:off x="6853157" y="6150890"/>
            <a:ext cx="928284" cy="145296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36000" tIns="0" rIns="36000" bIns="0" rtlCol="0" anchor="t">
            <a:noAutofit/>
          </a:bodyPr>
          <a:lstStyle/>
          <a:p>
            <a:pPr algn="r"/>
            <a:r>
              <a:rPr lang="fr-FR" sz="700">
                <a:solidFill>
                  <a:schemeClr val="bg1">
                    <a:lumMod val="50000"/>
                  </a:schemeClr>
                </a:solidFill>
              </a:rPr>
              <a:t>3x2 modules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147638</xdr:colOff>
      <xdr:row>0</xdr:row>
      <xdr:rowOff>28574</xdr:rowOff>
    </xdr:from>
    <xdr:ext cx="710293" cy="722408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" y="28574"/>
          <a:ext cx="710293" cy="72240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171728</xdr:colOff>
      <xdr:row>29</xdr:row>
      <xdr:rowOff>173005</xdr:rowOff>
    </xdr:from>
    <xdr:to>
      <xdr:col>14</xdr:col>
      <xdr:colOff>971939</xdr:colOff>
      <xdr:row>32</xdr:row>
      <xdr:rowOff>116122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9678" y="5754655"/>
          <a:ext cx="1019286" cy="514617"/>
        </a:xfrm>
        <a:prstGeom prst="rect">
          <a:avLst/>
        </a:prstGeom>
      </xdr:spPr>
    </xdr:pic>
    <xdr:clientData/>
  </xdr:twoCellAnchor>
  <xdr:twoCellAnchor editAs="oneCell">
    <xdr:from>
      <xdr:col>4</xdr:col>
      <xdr:colOff>113524</xdr:colOff>
      <xdr:row>29</xdr:row>
      <xdr:rowOff>156379</xdr:rowOff>
    </xdr:from>
    <xdr:to>
      <xdr:col>4</xdr:col>
      <xdr:colOff>849575</xdr:colOff>
      <xdr:row>32</xdr:row>
      <xdr:rowOff>124232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3599" y="5738029"/>
          <a:ext cx="736051" cy="539353"/>
        </a:xfrm>
        <a:prstGeom prst="rect">
          <a:avLst/>
        </a:prstGeom>
      </xdr:spPr>
    </xdr:pic>
    <xdr:clientData/>
  </xdr:twoCellAnchor>
  <xdr:twoCellAnchor editAs="oneCell">
    <xdr:from>
      <xdr:col>6</xdr:col>
      <xdr:colOff>47319</xdr:colOff>
      <xdr:row>29</xdr:row>
      <xdr:rowOff>176908</xdr:rowOff>
    </xdr:from>
    <xdr:to>
      <xdr:col>6</xdr:col>
      <xdr:colOff>940185</xdr:colOff>
      <xdr:row>32</xdr:row>
      <xdr:rowOff>135621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7544" y="5758558"/>
          <a:ext cx="892866" cy="530213"/>
        </a:xfrm>
        <a:prstGeom prst="rect">
          <a:avLst/>
        </a:prstGeom>
      </xdr:spPr>
    </xdr:pic>
    <xdr:clientData/>
  </xdr:twoCellAnchor>
  <xdr:twoCellAnchor editAs="oneCell">
    <xdr:from>
      <xdr:col>10</xdr:col>
      <xdr:colOff>12328</xdr:colOff>
      <xdr:row>29</xdr:row>
      <xdr:rowOff>168620</xdr:rowOff>
    </xdr:from>
    <xdr:to>
      <xdr:col>10</xdr:col>
      <xdr:colOff>955697</xdr:colOff>
      <xdr:row>32</xdr:row>
      <xdr:rowOff>105554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2853" y="5750270"/>
          <a:ext cx="943369" cy="508434"/>
        </a:xfrm>
        <a:prstGeom prst="rect">
          <a:avLst/>
        </a:prstGeom>
      </xdr:spPr>
    </xdr:pic>
    <xdr:clientData/>
  </xdr:twoCellAnchor>
  <xdr:twoCellAnchor editAs="oneCell">
    <xdr:from>
      <xdr:col>12</xdr:col>
      <xdr:colOff>49847</xdr:colOff>
      <xdr:row>29</xdr:row>
      <xdr:rowOff>177112</xdr:rowOff>
    </xdr:from>
    <xdr:to>
      <xdr:col>12</xdr:col>
      <xdr:colOff>935791</xdr:colOff>
      <xdr:row>32</xdr:row>
      <xdr:rowOff>99616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60522" y="5758762"/>
          <a:ext cx="885944" cy="49400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9720</xdr:rowOff>
    </xdr:from>
    <xdr:to>
      <xdr:col>1</xdr:col>
      <xdr:colOff>507741</xdr:colOff>
      <xdr:row>1</xdr:row>
      <xdr:rowOff>304995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720"/>
          <a:ext cx="736341" cy="714375"/>
        </a:xfrm>
        <a:prstGeom prst="rect">
          <a:avLst/>
        </a:prstGeom>
      </xdr:spPr>
    </xdr:pic>
    <xdr:clientData/>
  </xdr:twoCellAnchor>
  <xdr:twoCellAnchor>
    <xdr:from>
      <xdr:col>8</xdr:col>
      <xdr:colOff>8071</xdr:colOff>
      <xdr:row>30</xdr:row>
      <xdr:rowOff>15714</xdr:rowOff>
    </xdr:from>
    <xdr:to>
      <xdr:col>8</xdr:col>
      <xdr:colOff>960572</xdr:colOff>
      <xdr:row>32</xdr:row>
      <xdr:rowOff>145296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6805913" y="5800898"/>
          <a:ext cx="952501" cy="510582"/>
          <a:chOff x="6828940" y="5779146"/>
          <a:chExt cx="952501" cy="517040"/>
        </a:xfrm>
      </xdr:grpSpPr>
      <xdr:pic>
        <xdr:nvPicPr>
          <xdr:cNvPr id="9" name="Image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28940" y="5779146"/>
            <a:ext cx="936357" cy="317301"/>
          </a:xfrm>
          <a:prstGeom prst="rect">
            <a:avLst/>
          </a:prstGeom>
        </xdr:spPr>
      </xdr:pic>
      <xdr:sp macro="" textlink="">
        <xdr:nvSpPr>
          <xdr:cNvPr id="10" name="ZoneTexte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/>
        </xdr:nvSpPr>
        <xdr:spPr>
          <a:xfrm flipH="1">
            <a:off x="6853157" y="6150890"/>
            <a:ext cx="928284" cy="145296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36000" tIns="0" rIns="36000" bIns="0" rtlCol="0" anchor="t">
            <a:noAutofit/>
          </a:bodyPr>
          <a:lstStyle/>
          <a:p>
            <a:pPr algn="r"/>
            <a:r>
              <a:rPr lang="fr-FR" sz="700">
                <a:solidFill>
                  <a:schemeClr val="bg1">
                    <a:lumMod val="50000"/>
                  </a:schemeClr>
                </a:solidFill>
              </a:rPr>
              <a:t>3x2 modules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14968</xdr:colOff>
      <xdr:row>0</xdr:row>
      <xdr:rowOff>733425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8575"/>
          <a:ext cx="70076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504825</xdr:colOff>
      <xdr:row>0</xdr:row>
      <xdr:rowOff>19050</xdr:rowOff>
    </xdr:from>
    <xdr:to>
      <xdr:col>14</xdr:col>
      <xdr:colOff>117173</xdr:colOff>
      <xdr:row>0</xdr:row>
      <xdr:rowOff>706855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9050"/>
          <a:ext cx="1860248" cy="6878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104775</xdr:rowOff>
        </xdr:from>
        <xdr:to>
          <xdr:col>2</xdr:col>
          <xdr:colOff>57150</xdr:colOff>
          <xdr:row>1</xdr:row>
          <xdr:rowOff>342900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7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55</xdr:row>
      <xdr:rowOff>69627</xdr:rowOff>
    </xdr:from>
    <xdr:to>
      <xdr:col>2</xdr:col>
      <xdr:colOff>695325</xdr:colOff>
      <xdr:row>63</xdr:row>
      <xdr:rowOff>27134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9842277"/>
          <a:ext cx="1924049" cy="1481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63</xdr:row>
      <xdr:rowOff>38101</xdr:rowOff>
    </xdr:from>
    <xdr:to>
      <xdr:col>2</xdr:col>
      <xdr:colOff>714376</xdr:colOff>
      <xdr:row>70</xdr:row>
      <xdr:rowOff>47625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11334751"/>
          <a:ext cx="1943100" cy="134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70</xdr:row>
      <xdr:rowOff>85725</xdr:rowOff>
    </xdr:from>
    <xdr:to>
      <xdr:col>2</xdr:col>
      <xdr:colOff>733426</xdr:colOff>
      <xdr:row>77</xdr:row>
      <xdr:rowOff>28575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12715875"/>
          <a:ext cx="19621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77</xdr:row>
      <xdr:rowOff>114301</xdr:rowOff>
    </xdr:from>
    <xdr:to>
      <xdr:col>2</xdr:col>
      <xdr:colOff>704850</xdr:colOff>
      <xdr:row>84</xdr:row>
      <xdr:rowOff>58097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097001"/>
          <a:ext cx="1943100" cy="1315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84</xdr:row>
      <xdr:rowOff>104775</xdr:rowOff>
    </xdr:from>
    <xdr:to>
      <xdr:col>2</xdr:col>
      <xdr:colOff>714376</xdr:colOff>
      <xdr:row>90</xdr:row>
      <xdr:rowOff>131030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6" y="15459075"/>
          <a:ext cx="1962150" cy="124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69</xdr:row>
      <xdr:rowOff>123824</xdr:rowOff>
    </xdr:from>
    <xdr:to>
      <xdr:col>7</xdr:col>
      <xdr:colOff>10261</xdr:colOff>
      <xdr:row>92</xdr:row>
      <xdr:rowOff>84805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1926" y="12563474"/>
          <a:ext cx="3172560" cy="451393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93</xdr:row>
      <xdr:rowOff>154372</xdr:rowOff>
    </xdr:from>
    <xdr:to>
      <xdr:col>7</xdr:col>
      <xdr:colOff>9752</xdr:colOff>
      <xdr:row>108</xdr:row>
      <xdr:rowOff>170898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" r="59061"/>
        <a:stretch/>
      </xdr:blipFill>
      <xdr:spPr>
        <a:xfrm>
          <a:off x="4000501" y="17318422"/>
          <a:ext cx="3143476" cy="2874026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50</xdr:row>
      <xdr:rowOff>123825</xdr:rowOff>
    </xdr:from>
    <xdr:to>
      <xdr:col>12</xdr:col>
      <xdr:colOff>0</xdr:colOff>
      <xdr:row>73</xdr:row>
      <xdr:rowOff>151894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24650" y="695325"/>
          <a:ext cx="2752725" cy="418096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109</xdr:row>
      <xdr:rowOff>123825</xdr:rowOff>
    </xdr:from>
    <xdr:to>
      <xdr:col>7</xdr:col>
      <xdr:colOff>11100</xdr:colOff>
      <xdr:row>124</xdr:row>
      <xdr:rowOff>113355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9080" r="-23" b="1045"/>
        <a:stretch/>
      </xdr:blipFill>
      <xdr:spPr>
        <a:xfrm>
          <a:off x="3962400" y="20335875"/>
          <a:ext cx="3182925" cy="284703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135</xdr:row>
      <xdr:rowOff>47625</xdr:rowOff>
    </xdr:from>
    <xdr:to>
      <xdr:col>6</xdr:col>
      <xdr:colOff>876998</xdr:colOff>
      <xdr:row>163</xdr:row>
      <xdr:rowOff>4396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1" y="16983075"/>
          <a:ext cx="4658422" cy="5309821"/>
        </a:xfrm>
        <a:prstGeom prst="rect">
          <a:avLst/>
        </a:prstGeom>
      </xdr:spPr>
    </xdr:pic>
    <xdr:clientData/>
  </xdr:twoCellAnchor>
  <xdr:twoCellAnchor editAs="oneCell">
    <xdr:from>
      <xdr:col>7</xdr:col>
      <xdr:colOff>1351817</xdr:colOff>
      <xdr:row>137</xdr:row>
      <xdr:rowOff>158995</xdr:rowOff>
    </xdr:from>
    <xdr:to>
      <xdr:col>12</xdr:col>
      <xdr:colOff>2198</xdr:colOff>
      <xdr:row>171</xdr:row>
      <xdr:rowOff>51289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7492" y="17475445"/>
          <a:ext cx="4593981" cy="6397869"/>
        </a:xfrm>
        <a:prstGeom prst="rect">
          <a:avLst/>
        </a:prstGeom>
      </xdr:spPr>
    </xdr:pic>
    <xdr:clientData/>
  </xdr:twoCellAnchor>
  <xdr:twoCellAnchor editAs="oneCell">
    <xdr:from>
      <xdr:col>7</xdr:col>
      <xdr:colOff>1333499</xdr:colOff>
      <xdr:row>134</xdr:row>
      <xdr:rowOff>51288</xdr:rowOff>
    </xdr:from>
    <xdr:to>
      <xdr:col>12</xdr:col>
      <xdr:colOff>2590</xdr:colOff>
      <xdr:row>137</xdr:row>
      <xdr:rowOff>164258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29174" y="16796238"/>
          <a:ext cx="4726991" cy="684470"/>
        </a:xfrm>
        <a:prstGeom prst="rect">
          <a:avLst/>
        </a:prstGeom>
      </xdr:spPr>
    </xdr:pic>
    <xdr:clientData/>
  </xdr:twoCellAnchor>
  <xdr:oneCellAnchor>
    <xdr:from>
      <xdr:col>4</xdr:col>
      <xdr:colOff>57150</xdr:colOff>
      <xdr:row>50</xdr:row>
      <xdr:rowOff>57150</xdr:rowOff>
    </xdr:from>
    <xdr:ext cx="3076575" cy="3362325"/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90975" y="8877300"/>
          <a:ext cx="3076575" cy="336232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1975235</xdr:colOff>
      <xdr:row>90</xdr:row>
      <xdr:rowOff>543984</xdr:rowOff>
    </xdr:from>
    <xdr:to>
      <xdr:col>5</xdr:col>
      <xdr:colOff>1982259</xdr:colOff>
      <xdr:row>90</xdr:row>
      <xdr:rowOff>1555791</xdr:rowOff>
    </xdr:to>
    <xdr:cxnSp macro="">
      <xdr:nvCxnSpPr>
        <xdr:cNvPr id="1062" name="Connecteur droit 1061">
          <a:extLst>
            <a:ext uri="{FF2B5EF4-FFF2-40B4-BE49-F238E27FC236}">
              <a16:creationId xmlns:a16="http://schemas.microsoft.com/office/drawing/2014/main" id="{00000000-0008-0000-0A00-000026040000}"/>
            </a:ext>
          </a:extLst>
        </xdr:cNvPr>
        <xdr:cNvCxnSpPr>
          <a:stCxn id="1059" idx="2"/>
        </xdr:cNvCxnSpPr>
      </xdr:nvCxnSpPr>
      <xdr:spPr>
        <a:xfrm flipH="1">
          <a:off x="12664402" y="131512734"/>
          <a:ext cx="7024" cy="1011807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200024</xdr:colOff>
      <xdr:row>10</xdr:row>
      <xdr:rowOff>57150</xdr:rowOff>
    </xdr:from>
    <xdr:to>
      <xdr:col>4</xdr:col>
      <xdr:colOff>2457449</xdr:colOff>
      <xdr:row>10</xdr:row>
      <xdr:rowOff>1302054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399" y="7581900"/>
          <a:ext cx="2257425" cy="1244904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4</xdr:row>
      <xdr:rowOff>85725</xdr:rowOff>
    </xdr:from>
    <xdr:to>
      <xdr:col>4</xdr:col>
      <xdr:colOff>2295525</xdr:colOff>
      <xdr:row>4</xdr:row>
      <xdr:rowOff>1316584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2047875"/>
          <a:ext cx="1895475" cy="1230859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12</xdr:row>
      <xdr:rowOff>104775</xdr:rowOff>
    </xdr:from>
    <xdr:to>
      <xdr:col>4</xdr:col>
      <xdr:colOff>2181303</xdr:colOff>
      <xdr:row>12</xdr:row>
      <xdr:rowOff>1359569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10410825"/>
          <a:ext cx="1933653" cy="1254794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400051</xdr:colOff>
      <xdr:row>6</xdr:row>
      <xdr:rowOff>104775</xdr:rowOff>
    </xdr:from>
    <xdr:to>
      <xdr:col>4</xdr:col>
      <xdr:colOff>2266951</xdr:colOff>
      <xdr:row>6</xdr:row>
      <xdr:rowOff>1269740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6" y="4848225"/>
          <a:ext cx="1866900" cy="116496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14</xdr:row>
      <xdr:rowOff>95250</xdr:rowOff>
    </xdr:from>
    <xdr:to>
      <xdr:col>4</xdr:col>
      <xdr:colOff>2400301</xdr:colOff>
      <xdr:row>14</xdr:row>
      <xdr:rowOff>1359868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6" y="13182600"/>
          <a:ext cx="2171700" cy="1264618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3</xdr:row>
      <xdr:rowOff>84495</xdr:rowOff>
    </xdr:from>
    <xdr:to>
      <xdr:col>4</xdr:col>
      <xdr:colOff>2190750</xdr:colOff>
      <xdr:row>3</xdr:row>
      <xdr:rowOff>1329799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655995"/>
          <a:ext cx="1781175" cy="1245304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457201</xdr:colOff>
      <xdr:row>5</xdr:row>
      <xdr:rowOff>137627</xdr:rowOff>
    </xdr:from>
    <xdr:to>
      <xdr:col>4</xdr:col>
      <xdr:colOff>2251015</xdr:colOff>
      <xdr:row>5</xdr:row>
      <xdr:rowOff>1304925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3490427"/>
          <a:ext cx="1793814" cy="1167298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9</xdr:row>
      <xdr:rowOff>61942</xdr:rowOff>
    </xdr:from>
    <xdr:to>
      <xdr:col>4</xdr:col>
      <xdr:colOff>2314575</xdr:colOff>
      <xdr:row>9</xdr:row>
      <xdr:rowOff>1287368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6196042"/>
          <a:ext cx="1952625" cy="1225426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11</xdr:row>
      <xdr:rowOff>28576</xdr:rowOff>
    </xdr:from>
    <xdr:to>
      <xdr:col>4</xdr:col>
      <xdr:colOff>2228850</xdr:colOff>
      <xdr:row>11</xdr:row>
      <xdr:rowOff>1375500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6" y="8943976"/>
          <a:ext cx="1962149" cy="1346924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76201</xdr:rowOff>
    </xdr:from>
    <xdr:to>
      <xdr:col>4</xdr:col>
      <xdr:colOff>2257425</xdr:colOff>
      <xdr:row>13</xdr:row>
      <xdr:rowOff>1307778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1" y="11772901"/>
          <a:ext cx="1924049" cy="1231577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21</xdr:row>
      <xdr:rowOff>335221</xdr:rowOff>
    </xdr:from>
    <xdr:to>
      <xdr:col>6</xdr:col>
      <xdr:colOff>2495551</xdr:colOff>
      <xdr:row>21</xdr:row>
      <xdr:rowOff>1210065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6" y="17975521"/>
          <a:ext cx="2305050" cy="87484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22</xdr:row>
      <xdr:rowOff>257175</xdr:rowOff>
    </xdr:from>
    <xdr:to>
      <xdr:col>6</xdr:col>
      <xdr:colOff>2533650</xdr:colOff>
      <xdr:row>22</xdr:row>
      <xdr:rowOff>1132019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19288125"/>
          <a:ext cx="2305050" cy="874844"/>
        </a:xfrm>
        <a:prstGeom prst="rect">
          <a:avLst/>
        </a:prstGeom>
      </xdr:spPr>
    </xdr:pic>
    <xdr:clientData/>
  </xdr:twoCellAnchor>
  <xdr:twoCellAnchor editAs="oneCell">
    <xdr:from>
      <xdr:col>6</xdr:col>
      <xdr:colOff>33491</xdr:colOff>
      <xdr:row>27</xdr:row>
      <xdr:rowOff>266700</xdr:rowOff>
    </xdr:from>
    <xdr:to>
      <xdr:col>6</xdr:col>
      <xdr:colOff>2619375</xdr:colOff>
      <xdr:row>27</xdr:row>
      <xdr:rowOff>1189506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5116" y="23469600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28</xdr:row>
      <xdr:rowOff>285750</xdr:rowOff>
    </xdr:from>
    <xdr:to>
      <xdr:col>6</xdr:col>
      <xdr:colOff>2671609</xdr:colOff>
      <xdr:row>28</xdr:row>
      <xdr:rowOff>1208556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7350" y="24879300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29</xdr:row>
      <xdr:rowOff>207049</xdr:rowOff>
    </xdr:from>
    <xdr:to>
      <xdr:col>6</xdr:col>
      <xdr:colOff>2683966</xdr:colOff>
      <xdr:row>29</xdr:row>
      <xdr:rowOff>1200150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7824" y="26191249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30</xdr:row>
      <xdr:rowOff>190500</xdr:rowOff>
    </xdr:from>
    <xdr:to>
      <xdr:col>6</xdr:col>
      <xdr:colOff>2636342</xdr:colOff>
      <xdr:row>30</xdr:row>
      <xdr:rowOff>1183601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0" y="27565350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45</xdr:row>
      <xdr:rowOff>219075</xdr:rowOff>
    </xdr:from>
    <xdr:to>
      <xdr:col>6</xdr:col>
      <xdr:colOff>2664917</xdr:colOff>
      <xdr:row>45</xdr:row>
      <xdr:rowOff>1212176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8775" y="34547175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46</xdr:row>
      <xdr:rowOff>266700</xdr:rowOff>
    </xdr:from>
    <xdr:to>
      <xdr:col>6</xdr:col>
      <xdr:colOff>2664917</xdr:colOff>
      <xdr:row>46</xdr:row>
      <xdr:rowOff>1259801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8775" y="35985450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43</xdr:row>
      <xdr:rowOff>247650</xdr:rowOff>
    </xdr:from>
    <xdr:to>
      <xdr:col>6</xdr:col>
      <xdr:colOff>2652559</xdr:colOff>
      <xdr:row>43</xdr:row>
      <xdr:rowOff>1170456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0" y="31794450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44</xdr:row>
      <xdr:rowOff>257175</xdr:rowOff>
    </xdr:from>
    <xdr:to>
      <xdr:col>6</xdr:col>
      <xdr:colOff>2662084</xdr:colOff>
      <xdr:row>44</xdr:row>
      <xdr:rowOff>1179981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7825" y="33194625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63</xdr:row>
      <xdr:rowOff>200025</xdr:rowOff>
    </xdr:from>
    <xdr:to>
      <xdr:col>6</xdr:col>
      <xdr:colOff>2674442</xdr:colOff>
      <xdr:row>63</xdr:row>
      <xdr:rowOff>1193126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0" y="45653325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64</xdr:row>
      <xdr:rowOff>171450</xdr:rowOff>
    </xdr:from>
    <xdr:to>
      <xdr:col>6</xdr:col>
      <xdr:colOff>2664917</xdr:colOff>
      <xdr:row>64</xdr:row>
      <xdr:rowOff>1164551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8775" y="47015400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61</xdr:row>
      <xdr:rowOff>200025</xdr:rowOff>
    </xdr:from>
    <xdr:to>
      <xdr:col>6</xdr:col>
      <xdr:colOff>2671609</xdr:colOff>
      <xdr:row>61</xdr:row>
      <xdr:rowOff>1122831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7350" y="42872025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62</xdr:row>
      <xdr:rowOff>228600</xdr:rowOff>
    </xdr:from>
    <xdr:to>
      <xdr:col>6</xdr:col>
      <xdr:colOff>2633509</xdr:colOff>
      <xdr:row>62</xdr:row>
      <xdr:rowOff>1151406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0" y="44291250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38099</xdr:colOff>
      <xdr:row>65</xdr:row>
      <xdr:rowOff>180975</xdr:rowOff>
    </xdr:from>
    <xdr:to>
      <xdr:col>6</xdr:col>
      <xdr:colOff>2666300</xdr:colOff>
      <xdr:row>65</xdr:row>
      <xdr:rowOff>1209674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4" y="48415575"/>
          <a:ext cx="2628201" cy="10286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66</xdr:row>
      <xdr:rowOff>123825</xdr:rowOff>
    </xdr:from>
    <xdr:to>
      <xdr:col>6</xdr:col>
      <xdr:colOff>2647251</xdr:colOff>
      <xdr:row>66</xdr:row>
      <xdr:rowOff>1152524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0675" y="49749075"/>
          <a:ext cx="2628201" cy="1028699"/>
        </a:xfrm>
        <a:prstGeom prst="rect">
          <a:avLst/>
        </a:prstGeom>
      </xdr:spPr>
    </xdr:pic>
    <xdr:clientData/>
  </xdr:twoCellAnchor>
  <xdr:twoCellAnchor editAs="oneCell">
    <xdr:from>
      <xdr:col>6</xdr:col>
      <xdr:colOff>74092</xdr:colOff>
      <xdr:row>56</xdr:row>
      <xdr:rowOff>104775</xdr:rowOff>
    </xdr:from>
    <xdr:to>
      <xdr:col>6</xdr:col>
      <xdr:colOff>2675849</xdr:colOff>
      <xdr:row>56</xdr:row>
      <xdr:rowOff>1266825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5717" y="46948725"/>
          <a:ext cx="2601757" cy="11620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55</xdr:row>
      <xdr:rowOff>123825</xdr:rowOff>
    </xdr:from>
    <xdr:to>
      <xdr:col>6</xdr:col>
      <xdr:colOff>2677957</xdr:colOff>
      <xdr:row>55</xdr:row>
      <xdr:rowOff>1285875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7825" y="45577125"/>
          <a:ext cx="2601757" cy="11620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54</xdr:row>
      <xdr:rowOff>161925</xdr:rowOff>
    </xdr:from>
    <xdr:to>
      <xdr:col>6</xdr:col>
      <xdr:colOff>2522096</xdr:colOff>
      <xdr:row>54</xdr:row>
      <xdr:rowOff>1200150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7825" y="44224575"/>
          <a:ext cx="2445896" cy="10382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53</xdr:row>
      <xdr:rowOff>190500</xdr:rowOff>
    </xdr:from>
    <xdr:to>
      <xdr:col>6</xdr:col>
      <xdr:colOff>2617346</xdr:colOff>
      <xdr:row>53</xdr:row>
      <xdr:rowOff>1228725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3075" y="42862500"/>
          <a:ext cx="2445896" cy="10382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51</xdr:row>
      <xdr:rowOff>257175</xdr:rowOff>
    </xdr:from>
    <xdr:to>
      <xdr:col>6</xdr:col>
      <xdr:colOff>2495550</xdr:colOff>
      <xdr:row>51</xdr:row>
      <xdr:rowOff>1132019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40147875"/>
          <a:ext cx="2305050" cy="874844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52</xdr:row>
      <xdr:rowOff>304800</xdr:rowOff>
    </xdr:from>
    <xdr:to>
      <xdr:col>6</xdr:col>
      <xdr:colOff>2524125</xdr:colOff>
      <xdr:row>52</xdr:row>
      <xdr:rowOff>1179644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0700" y="41586150"/>
          <a:ext cx="2305050" cy="874844"/>
        </a:xfrm>
        <a:prstGeom prst="rect">
          <a:avLst/>
        </a:prstGeom>
      </xdr:spPr>
    </xdr:pic>
    <xdr:clientData/>
  </xdr:twoCellAnchor>
  <xdr:twoCellAnchor>
    <xdr:from>
      <xdr:col>5</xdr:col>
      <xdr:colOff>733425</xdr:colOff>
      <xdr:row>70</xdr:row>
      <xdr:rowOff>104775</xdr:rowOff>
    </xdr:from>
    <xdr:to>
      <xdr:col>5</xdr:col>
      <xdr:colOff>885825</xdr:colOff>
      <xdr:row>70</xdr:row>
      <xdr:rowOff>257175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11020425" y="61493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70</xdr:row>
      <xdr:rowOff>1295400</xdr:rowOff>
    </xdr:from>
    <xdr:to>
      <xdr:col>5</xdr:col>
      <xdr:colOff>904875</xdr:colOff>
      <xdr:row>70</xdr:row>
      <xdr:rowOff>1447800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/>
      </xdr:nvSpPr>
      <xdr:spPr>
        <a:xfrm>
          <a:off x="11039475" y="62684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70</xdr:row>
      <xdr:rowOff>95250</xdr:rowOff>
    </xdr:from>
    <xdr:to>
      <xdr:col>5</xdr:col>
      <xdr:colOff>2143125</xdr:colOff>
      <xdr:row>70</xdr:row>
      <xdr:rowOff>247650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SpPr/>
      </xdr:nvSpPr>
      <xdr:spPr>
        <a:xfrm>
          <a:off x="12277725" y="614838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70</xdr:row>
      <xdr:rowOff>1295400</xdr:rowOff>
    </xdr:from>
    <xdr:to>
      <xdr:col>5</xdr:col>
      <xdr:colOff>2152650</xdr:colOff>
      <xdr:row>70</xdr:row>
      <xdr:rowOff>1447800</xdr:rowOff>
    </xdr:to>
    <xdr:sp macro="" textlink="">
      <xdr:nvSpPr>
        <xdr:cNvPr id="93" name="Rectangle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/>
      </xdr:nvSpPr>
      <xdr:spPr>
        <a:xfrm>
          <a:off x="12287250" y="62684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74</xdr:row>
      <xdr:rowOff>104775</xdr:rowOff>
    </xdr:from>
    <xdr:to>
      <xdr:col>5</xdr:col>
      <xdr:colOff>885825</xdr:colOff>
      <xdr:row>74</xdr:row>
      <xdr:rowOff>257175</xdr:rowOff>
    </xdr:to>
    <xdr:sp macro="" textlink="">
      <xdr:nvSpPr>
        <xdr:cNvPr id="138" name="Rectangle 137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SpPr/>
      </xdr:nvSpPr>
      <xdr:spPr>
        <a:xfrm>
          <a:off x="11020425" y="61493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74</xdr:row>
      <xdr:rowOff>1295400</xdr:rowOff>
    </xdr:from>
    <xdr:to>
      <xdr:col>5</xdr:col>
      <xdr:colOff>904875</xdr:colOff>
      <xdr:row>74</xdr:row>
      <xdr:rowOff>1447800</xdr:rowOff>
    </xdr:to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SpPr/>
      </xdr:nvSpPr>
      <xdr:spPr>
        <a:xfrm>
          <a:off x="11039475" y="62684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74</xdr:row>
      <xdr:rowOff>95250</xdr:rowOff>
    </xdr:from>
    <xdr:to>
      <xdr:col>5</xdr:col>
      <xdr:colOff>2143125</xdr:colOff>
      <xdr:row>74</xdr:row>
      <xdr:rowOff>247650</xdr:rowOff>
    </xdr:to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SpPr/>
      </xdr:nvSpPr>
      <xdr:spPr>
        <a:xfrm>
          <a:off x="12277725" y="614838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74</xdr:row>
      <xdr:rowOff>1295400</xdr:rowOff>
    </xdr:from>
    <xdr:to>
      <xdr:col>5</xdr:col>
      <xdr:colOff>2152650</xdr:colOff>
      <xdr:row>74</xdr:row>
      <xdr:rowOff>1447800</xdr:rowOff>
    </xdr:to>
    <xdr:sp macro="" textlink="">
      <xdr:nvSpPr>
        <xdr:cNvPr id="141" name="Rectangle 140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SpPr/>
      </xdr:nvSpPr>
      <xdr:spPr>
        <a:xfrm>
          <a:off x="12287250" y="62684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78</xdr:row>
      <xdr:rowOff>262303</xdr:rowOff>
    </xdr:from>
    <xdr:to>
      <xdr:col>5</xdr:col>
      <xdr:colOff>493102</xdr:colOff>
      <xdr:row>78</xdr:row>
      <xdr:rowOff>414703</xdr:rowOff>
    </xdr:to>
    <xdr:sp macro="" textlink="">
      <xdr:nvSpPr>
        <xdr:cNvPr id="146" name="Rectangle 145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SpPr/>
      </xdr:nvSpPr>
      <xdr:spPr>
        <a:xfrm>
          <a:off x="10642356" y="6476120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78</xdr:row>
      <xdr:rowOff>1214804</xdr:rowOff>
    </xdr:from>
    <xdr:to>
      <xdr:col>5</xdr:col>
      <xdr:colOff>487241</xdr:colOff>
      <xdr:row>78</xdr:row>
      <xdr:rowOff>1367204</xdr:rowOff>
    </xdr:to>
    <xdr:sp macro="" textlink="">
      <xdr:nvSpPr>
        <xdr:cNvPr id="147" name="Rectangle 146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SpPr/>
      </xdr:nvSpPr>
      <xdr:spPr>
        <a:xfrm>
          <a:off x="10636495" y="6571370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78</xdr:row>
      <xdr:rowOff>244719</xdr:rowOff>
    </xdr:from>
    <xdr:to>
      <xdr:col>5</xdr:col>
      <xdr:colOff>2380518</xdr:colOff>
      <xdr:row>78</xdr:row>
      <xdr:rowOff>397119</xdr:rowOff>
    </xdr:to>
    <xdr:sp macro="" textlink="">
      <xdr:nvSpPr>
        <xdr:cNvPr id="148" name="Rectangle 147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SpPr/>
      </xdr:nvSpPr>
      <xdr:spPr>
        <a:xfrm>
          <a:off x="12529772" y="6474362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78</xdr:row>
      <xdr:rowOff>1244111</xdr:rowOff>
    </xdr:from>
    <xdr:to>
      <xdr:col>5</xdr:col>
      <xdr:colOff>2372458</xdr:colOff>
      <xdr:row>78</xdr:row>
      <xdr:rowOff>1396511</xdr:rowOff>
    </xdr:to>
    <xdr:sp macro="" textlink="">
      <xdr:nvSpPr>
        <xdr:cNvPr id="149" name="Rectangle 148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SpPr/>
      </xdr:nvSpPr>
      <xdr:spPr>
        <a:xfrm>
          <a:off x="12521712" y="6574301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359021</xdr:colOff>
      <xdr:row>84</xdr:row>
      <xdr:rowOff>415437</xdr:rowOff>
    </xdr:from>
    <xdr:to>
      <xdr:col>5</xdr:col>
      <xdr:colOff>366346</xdr:colOff>
      <xdr:row>84</xdr:row>
      <xdr:rowOff>1201615</xdr:rowOff>
    </xdr:to>
    <xdr:cxnSp macro="">
      <xdr:nvCxnSpPr>
        <xdr:cNvPr id="158" name="Connecteur droit 157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CxnSpPr/>
      </xdr:nvCxnSpPr>
      <xdr:spPr>
        <a:xfrm>
          <a:off x="10660675" y="64914341"/>
          <a:ext cx="7325" cy="78617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2337288</xdr:colOff>
      <xdr:row>84</xdr:row>
      <xdr:rowOff>391257</xdr:rowOff>
    </xdr:from>
    <xdr:to>
      <xdr:col>5</xdr:col>
      <xdr:colOff>2341686</xdr:colOff>
      <xdr:row>84</xdr:row>
      <xdr:rowOff>1230923</xdr:rowOff>
    </xdr:to>
    <xdr:cxnSp macro="">
      <xdr:nvCxnSpPr>
        <xdr:cNvPr id="159" name="Connecteur droit 158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CxnSpPr/>
      </xdr:nvCxnSpPr>
      <xdr:spPr>
        <a:xfrm flipH="1">
          <a:off x="12638942" y="64890161"/>
          <a:ext cx="4398" cy="839666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84</xdr:row>
      <xdr:rowOff>276225</xdr:rowOff>
    </xdr:from>
    <xdr:to>
      <xdr:col>5</xdr:col>
      <xdr:colOff>2219325</xdr:colOff>
      <xdr:row>84</xdr:row>
      <xdr:rowOff>285750</xdr:rowOff>
    </xdr:to>
    <xdr:cxnSp macro="">
      <xdr:nvCxnSpPr>
        <xdr:cNvPr id="160" name="Connecteur droit 159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CxnSpPr/>
      </xdr:nvCxnSpPr>
      <xdr:spPr>
        <a:xfrm flipV="1">
          <a:off x="10806479" y="64775129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84</xdr:row>
      <xdr:rowOff>1356945</xdr:rowOff>
    </xdr:from>
    <xdr:to>
      <xdr:col>5</xdr:col>
      <xdr:colOff>2203205</xdr:colOff>
      <xdr:row>84</xdr:row>
      <xdr:rowOff>1370133</xdr:rowOff>
    </xdr:to>
    <xdr:cxnSp macro="">
      <xdr:nvCxnSpPr>
        <xdr:cNvPr id="161" name="Connecteur droit 160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CxnSpPr/>
      </xdr:nvCxnSpPr>
      <xdr:spPr>
        <a:xfrm>
          <a:off x="10766914" y="65855849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84</xdr:row>
      <xdr:rowOff>262303</xdr:rowOff>
    </xdr:from>
    <xdr:to>
      <xdr:col>5</xdr:col>
      <xdr:colOff>493102</xdr:colOff>
      <xdr:row>84</xdr:row>
      <xdr:rowOff>414703</xdr:rowOff>
    </xdr:to>
    <xdr:sp macro="" textlink="">
      <xdr:nvSpPr>
        <xdr:cNvPr id="162" name="Rectangle 161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SpPr/>
      </xdr:nvSpPr>
      <xdr:spPr>
        <a:xfrm>
          <a:off x="10642356" y="6476120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84</xdr:row>
      <xdr:rowOff>1214804</xdr:rowOff>
    </xdr:from>
    <xdr:to>
      <xdr:col>5</xdr:col>
      <xdr:colOff>487241</xdr:colOff>
      <xdr:row>84</xdr:row>
      <xdr:rowOff>1367204</xdr:rowOff>
    </xdr:to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SpPr/>
      </xdr:nvSpPr>
      <xdr:spPr>
        <a:xfrm>
          <a:off x="10636495" y="6571370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84</xdr:row>
      <xdr:rowOff>244719</xdr:rowOff>
    </xdr:from>
    <xdr:to>
      <xdr:col>5</xdr:col>
      <xdr:colOff>2380518</xdr:colOff>
      <xdr:row>84</xdr:row>
      <xdr:rowOff>397119</xdr:rowOff>
    </xdr:to>
    <xdr:sp macro="" textlink="">
      <xdr:nvSpPr>
        <xdr:cNvPr id="164" name="Rectangle 163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SpPr/>
      </xdr:nvSpPr>
      <xdr:spPr>
        <a:xfrm>
          <a:off x="12529772" y="6474362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84</xdr:row>
      <xdr:rowOff>1244111</xdr:rowOff>
    </xdr:from>
    <xdr:to>
      <xdr:col>5</xdr:col>
      <xdr:colOff>2372458</xdr:colOff>
      <xdr:row>84</xdr:row>
      <xdr:rowOff>1396511</xdr:rowOff>
    </xdr:to>
    <xdr:sp macro="" textlink="">
      <xdr:nvSpPr>
        <xdr:cNvPr id="165" name="Rectangle 164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SpPr/>
      </xdr:nvSpPr>
      <xdr:spPr>
        <a:xfrm>
          <a:off x="12521712" y="6574301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388327</xdr:colOff>
      <xdr:row>78</xdr:row>
      <xdr:rowOff>791308</xdr:rowOff>
    </xdr:from>
    <xdr:to>
      <xdr:col>5</xdr:col>
      <xdr:colOff>2293327</xdr:colOff>
      <xdr:row>78</xdr:row>
      <xdr:rowOff>849923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/>
      </xdr:nvSpPr>
      <xdr:spPr>
        <a:xfrm>
          <a:off x="10689981" y="652902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410308</xdr:colOff>
      <xdr:row>84</xdr:row>
      <xdr:rowOff>805962</xdr:rowOff>
    </xdr:from>
    <xdr:to>
      <xdr:col>5</xdr:col>
      <xdr:colOff>2315308</xdr:colOff>
      <xdr:row>84</xdr:row>
      <xdr:rowOff>864577</xdr:rowOff>
    </xdr:to>
    <xdr:sp macro="" textlink="">
      <xdr:nvSpPr>
        <xdr:cNvPr id="166" name="Rectangle 165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SpPr/>
      </xdr:nvSpPr>
      <xdr:spPr>
        <a:xfrm>
          <a:off x="10711962" y="66828866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359021</xdr:colOff>
      <xdr:row>81</xdr:row>
      <xdr:rowOff>415437</xdr:rowOff>
    </xdr:from>
    <xdr:to>
      <xdr:col>5</xdr:col>
      <xdr:colOff>366346</xdr:colOff>
      <xdr:row>81</xdr:row>
      <xdr:rowOff>1201615</xdr:rowOff>
    </xdr:to>
    <xdr:cxnSp macro="">
      <xdr:nvCxnSpPr>
        <xdr:cNvPr id="167" name="Connecteur droit 166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CxnSpPr/>
      </xdr:nvCxnSpPr>
      <xdr:spPr>
        <a:xfrm>
          <a:off x="10660675" y="64914341"/>
          <a:ext cx="7325" cy="78617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2337288</xdr:colOff>
      <xdr:row>81</xdr:row>
      <xdr:rowOff>391257</xdr:rowOff>
    </xdr:from>
    <xdr:to>
      <xdr:col>5</xdr:col>
      <xdr:colOff>2341686</xdr:colOff>
      <xdr:row>81</xdr:row>
      <xdr:rowOff>1230923</xdr:rowOff>
    </xdr:to>
    <xdr:cxnSp macro="">
      <xdr:nvCxnSpPr>
        <xdr:cNvPr id="168" name="Connecteur droit 167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CxnSpPr/>
      </xdr:nvCxnSpPr>
      <xdr:spPr>
        <a:xfrm flipH="1">
          <a:off x="12638942" y="64890161"/>
          <a:ext cx="4398" cy="839666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81</xdr:row>
      <xdr:rowOff>276225</xdr:rowOff>
    </xdr:from>
    <xdr:to>
      <xdr:col>5</xdr:col>
      <xdr:colOff>2219325</xdr:colOff>
      <xdr:row>81</xdr:row>
      <xdr:rowOff>285750</xdr:rowOff>
    </xdr:to>
    <xdr:cxnSp macro="">
      <xdr:nvCxnSpPr>
        <xdr:cNvPr id="169" name="Connecteur droit 168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CxnSpPr/>
      </xdr:nvCxnSpPr>
      <xdr:spPr>
        <a:xfrm flipV="1">
          <a:off x="10806479" y="64775129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81</xdr:row>
      <xdr:rowOff>1356945</xdr:rowOff>
    </xdr:from>
    <xdr:to>
      <xdr:col>5</xdr:col>
      <xdr:colOff>2203205</xdr:colOff>
      <xdr:row>81</xdr:row>
      <xdr:rowOff>1370133</xdr:rowOff>
    </xdr:to>
    <xdr:cxnSp macro="">
      <xdr:nvCxnSpPr>
        <xdr:cNvPr id="170" name="Connecteur droit 169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CxnSpPr/>
      </xdr:nvCxnSpPr>
      <xdr:spPr>
        <a:xfrm>
          <a:off x="10766914" y="65855849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81</xdr:row>
      <xdr:rowOff>262303</xdr:rowOff>
    </xdr:from>
    <xdr:to>
      <xdr:col>5</xdr:col>
      <xdr:colOff>493102</xdr:colOff>
      <xdr:row>81</xdr:row>
      <xdr:rowOff>414703</xdr:rowOff>
    </xdr:to>
    <xdr:sp macro="" textlink="">
      <xdr:nvSpPr>
        <xdr:cNvPr id="171" name="Rectangle 170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SpPr/>
      </xdr:nvSpPr>
      <xdr:spPr>
        <a:xfrm>
          <a:off x="10642356" y="6476120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81</xdr:row>
      <xdr:rowOff>1214804</xdr:rowOff>
    </xdr:from>
    <xdr:to>
      <xdr:col>5</xdr:col>
      <xdr:colOff>487241</xdr:colOff>
      <xdr:row>81</xdr:row>
      <xdr:rowOff>1367204</xdr:rowOff>
    </xdr:to>
    <xdr:sp macro="" textlink="">
      <xdr:nvSpPr>
        <xdr:cNvPr id="172" name="Rectangle 171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SpPr/>
      </xdr:nvSpPr>
      <xdr:spPr>
        <a:xfrm>
          <a:off x="10636495" y="6571370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81</xdr:row>
      <xdr:rowOff>244719</xdr:rowOff>
    </xdr:from>
    <xdr:to>
      <xdr:col>5</xdr:col>
      <xdr:colOff>2380518</xdr:colOff>
      <xdr:row>81</xdr:row>
      <xdr:rowOff>397119</xdr:rowOff>
    </xdr:to>
    <xdr:sp macro="" textlink="">
      <xdr:nvSpPr>
        <xdr:cNvPr id="173" name="Rectangle 172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SpPr/>
      </xdr:nvSpPr>
      <xdr:spPr>
        <a:xfrm>
          <a:off x="12529772" y="6474362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81</xdr:row>
      <xdr:rowOff>1244111</xdr:rowOff>
    </xdr:from>
    <xdr:to>
      <xdr:col>5</xdr:col>
      <xdr:colOff>2372458</xdr:colOff>
      <xdr:row>81</xdr:row>
      <xdr:rowOff>1396511</xdr:rowOff>
    </xdr:to>
    <xdr:sp macro="" textlink="">
      <xdr:nvSpPr>
        <xdr:cNvPr id="174" name="Rectangle 173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SpPr/>
      </xdr:nvSpPr>
      <xdr:spPr>
        <a:xfrm>
          <a:off x="12521712" y="6574301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388327</xdr:colOff>
      <xdr:row>81</xdr:row>
      <xdr:rowOff>791308</xdr:rowOff>
    </xdr:from>
    <xdr:to>
      <xdr:col>5</xdr:col>
      <xdr:colOff>2293327</xdr:colOff>
      <xdr:row>81</xdr:row>
      <xdr:rowOff>849923</xdr:rowOff>
    </xdr:to>
    <xdr:sp macro="" textlink="">
      <xdr:nvSpPr>
        <xdr:cNvPr id="175" name="Rectangle 174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SpPr/>
      </xdr:nvSpPr>
      <xdr:spPr>
        <a:xfrm>
          <a:off x="10689981" y="652902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359021</xdr:colOff>
      <xdr:row>85</xdr:row>
      <xdr:rowOff>415437</xdr:rowOff>
    </xdr:from>
    <xdr:to>
      <xdr:col>5</xdr:col>
      <xdr:colOff>366346</xdr:colOff>
      <xdr:row>85</xdr:row>
      <xdr:rowOff>1201615</xdr:rowOff>
    </xdr:to>
    <xdr:cxnSp macro="">
      <xdr:nvCxnSpPr>
        <xdr:cNvPr id="176" name="Connecteur droit 175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CxnSpPr/>
      </xdr:nvCxnSpPr>
      <xdr:spPr>
        <a:xfrm>
          <a:off x="10660675" y="67962341"/>
          <a:ext cx="7325" cy="78617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2337288</xdr:colOff>
      <xdr:row>85</xdr:row>
      <xdr:rowOff>391257</xdr:rowOff>
    </xdr:from>
    <xdr:to>
      <xdr:col>5</xdr:col>
      <xdr:colOff>2341686</xdr:colOff>
      <xdr:row>85</xdr:row>
      <xdr:rowOff>1230923</xdr:rowOff>
    </xdr:to>
    <xdr:cxnSp macro="">
      <xdr:nvCxnSpPr>
        <xdr:cNvPr id="177" name="Connecteur droit 176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CxnSpPr/>
      </xdr:nvCxnSpPr>
      <xdr:spPr>
        <a:xfrm flipH="1">
          <a:off x="12638942" y="67938161"/>
          <a:ext cx="4398" cy="839666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85</xdr:row>
      <xdr:rowOff>276225</xdr:rowOff>
    </xdr:from>
    <xdr:to>
      <xdr:col>5</xdr:col>
      <xdr:colOff>2219325</xdr:colOff>
      <xdr:row>85</xdr:row>
      <xdr:rowOff>285750</xdr:rowOff>
    </xdr:to>
    <xdr:cxnSp macro="">
      <xdr:nvCxnSpPr>
        <xdr:cNvPr id="178" name="Connecteur droit 177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CxnSpPr/>
      </xdr:nvCxnSpPr>
      <xdr:spPr>
        <a:xfrm flipV="1">
          <a:off x="10806479" y="67823129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85</xdr:row>
      <xdr:rowOff>1356945</xdr:rowOff>
    </xdr:from>
    <xdr:to>
      <xdr:col>5</xdr:col>
      <xdr:colOff>2203205</xdr:colOff>
      <xdr:row>85</xdr:row>
      <xdr:rowOff>1370133</xdr:rowOff>
    </xdr:to>
    <xdr:cxnSp macro="">
      <xdr:nvCxnSpPr>
        <xdr:cNvPr id="179" name="Connecteur droit 178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CxnSpPr/>
      </xdr:nvCxnSpPr>
      <xdr:spPr>
        <a:xfrm>
          <a:off x="10766914" y="68903849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85</xdr:row>
      <xdr:rowOff>262303</xdr:rowOff>
    </xdr:from>
    <xdr:to>
      <xdr:col>5</xdr:col>
      <xdr:colOff>493102</xdr:colOff>
      <xdr:row>85</xdr:row>
      <xdr:rowOff>414703</xdr:rowOff>
    </xdr:to>
    <xdr:sp macro="" textlink="">
      <xdr:nvSpPr>
        <xdr:cNvPr id="180" name="Rectangle 179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SpPr/>
      </xdr:nvSpPr>
      <xdr:spPr>
        <a:xfrm>
          <a:off x="10642356" y="6780920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85</xdr:row>
      <xdr:rowOff>1214804</xdr:rowOff>
    </xdr:from>
    <xdr:to>
      <xdr:col>5</xdr:col>
      <xdr:colOff>487241</xdr:colOff>
      <xdr:row>85</xdr:row>
      <xdr:rowOff>1367204</xdr:rowOff>
    </xdr:to>
    <xdr:sp macro="" textlink="">
      <xdr:nvSpPr>
        <xdr:cNvPr id="181" name="Rectangle 180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SpPr/>
      </xdr:nvSpPr>
      <xdr:spPr>
        <a:xfrm>
          <a:off x="10636495" y="6876170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85</xdr:row>
      <xdr:rowOff>244719</xdr:rowOff>
    </xdr:from>
    <xdr:to>
      <xdr:col>5</xdr:col>
      <xdr:colOff>2380518</xdr:colOff>
      <xdr:row>85</xdr:row>
      <xdr:rowOff>397119</xdr:rowOff>
    </xdr:to>
    <xdr:sp macro="" textlink="">
      <xdr:nvSpPr>
        <xdr:cNvPr id="182" name="Rectangle 181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SpPr/>
      </xdr:nvSpPr>
      <xdr:spPr>
        <a:xfrm>
          <a:off x="12529772" y="6779162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85</xdr:row>
      <xdr:rowOff>1244111</xdr:rowOff>
    </xdr:from>
    <xdr:to>
      <xdr:col>5</xdr:col>
      <xdr:colOff>2372458</xdr:colOff>
      <xdr:row>85</xdr:row>
      <xdr:rowOff>1396511</xdr:rowOff>
    </xdr:to>
    <xdr:sp macro="" textlink="">
      <xdr:nvSpPr>
        <xdr:cNvPr id="183" name="Rectangle 182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SpPr/>
      </xdr:nvSpPr>
      <xdr:spPr>
        <a:xfrm>
          <a:off x="12521712" y="6879101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410308</xdr:colOff>
      <xdr:row>85</xdr:row>
      <xdr:rowOff>805962</xdr:rowOff>
    </xdr:from>
    <xdr:to>
      <xdr:col>5</xdr:col>
      <xdr:colOff>2315308</xdr:colOff>
      <xdr:row>85</xdr:row>
      <xdr:rowOff>864577</xdr:rowOff>
    </xdr:to>
    <xdr:sp macro="" textlink="">
      <xdr:nvSpPr>
        <xdr:cNvPr id="184" name="Rectangle 183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SpPr/>
      </xdr:nvSpPr>
      <xdr:spPr>
        <a:xfrm>
          <a:off x="10711962" y="68352866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72</xdr:row>
      <xdr:rowOff>276225</xdr:rowOff>
    </xdr:from>
    <xdr:to>
      <xdr:col>5</xdr:col>
      <xdr:colOff>771525</xdr:colOff>
      <xdr:row>72</xdr:row>
      <xdr:rowOff>1314450</xdr:rowOff>
    </xdr:to>
    <xdr:cxnSp macro="">
      <xdr:nvCxnSpPr>
        <xdr:cNvPr id="238" name="Connecteur droit 237">
          <a:extLst>
            <a:ext uri="{FF2B5EF4-FFF2-40B4-BE49-F238E27FC236}">
              <a16:creationId xmlns:a16="http://schemas.microsoft.com/office/drawing/2014/main" id="{00000000-0008-0000-0A00-0000EE000000}"/>
            </a:ext>
          </a:extLst>
        </xdr:cNvPr>
        <xdr:cNvCxnSpPr/>
      </xdr:nvCxnSpPr>
      <xdr:spPr>
        <a:xfrm>
          <a:off x="24884063" y="61772006"/>
          <a:ext cx="9525" cy="10382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2114550</xdr:colOff>
      <xdr:row>72</xdr:row>
      <xdr:rowOff>266700</xdr:rowOff>
    </xdr:from>
    <xdr:to>
      <xdr:col>5</xdr:col>
      <xdr:colOff>2124075</xdr:colOff>
      <xdr:row>72</xdr:row>
      <xdr:rowOff>1304925</xdr:rowOff>
    </xdr:to>
    <xdr:cxnSp macro="">
      <xdr:nvCxnSpPr>
        <xdr:cNvPr id="239" name="Connecteur droit 238">
          <a:extLst>
            <a:ext uri="{FF2B5EF4-FFF2-40B4-BE49-F238E27FC236}">
              <a16:creationId xmlns:a16="http://schemas.microsoft.com/office/drawing/2014/main" id="{00000000-0008-0000-0A00-0000EF000000}"/>
            </a:ext>
          </a:extLst>
        </xdr:cNvPr>
        <xdr:cNvCxnSpPr/>
      </xdr:nvCxnSpPr>
      <xdr:spPr>
        <a:xfrm>
          <a:off x="26236613" y="61762481"/>
          <a:ext cx="9525" cy="10382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72</xdr:row>
      <xdr:rowOff>123825</xdr:rowOff>
    </xdr:from>
    <xdr:to>
      <xdr:col>5</xdr:col>
      <xdr:colOff>1962150</xdr:colOff>
      <xdr:row>72</xdr:row>
      <xdr:rowOff>123825</xdr:rowOff>
    </xdr:to>
    <xdr:cxnSp macro="">
      <xdr:nvCxnSpPr>
        <xdr:cNvPr id="240" name="Connecteur droit 239">
          <a:extLst>
            <a:ext uri="{FF2B5EF4-FFF2-40B4-BE49-F238E27FC236}">
              <a16:creationId xmlns:a16="http://schemas.microsoft.com/office/drawing/2014/main" id="{00000000-0008-0000-0A00-0000F0000000}"/>
            </a:ext>
          </a:extLst>
        </xdr:cNvPr>
        <xdr:cNvCxnSpPr/>
      </xdr:nvCxnSpPr>
      <xdr:spPr>
        <a:xfrm>
          <a:off x="25007888" y="61619606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914400</xdr:colOff>
      <xdr:row>72</xdr:row>
      <xdr:rowOff>1428750</xdr:rowOff>
    </xdr:from>
    <xdr:to>
      <xdr:col>5</xdr:col>
      <xdr:colOff>1990725</xdr:colOff>
      <xdr:row>72</xdr:row>
      <xdr:rowOff>1428750</xdr:rowOff>
    </xdr:to>
    <xdr:cxnSp macro="">
      <xdr:nvCxnSpPr>
        <xdr:cNvPr id="241" name="Connecteur droit 240">
          <a:extLst>
            <a:ext uri="{FF2B5EF4-FFF2-40B4-BE49-F238E27FC236}">
              <a16:creationId xmlns:a16="http://schemas.microsoft.com/office/drawing/2014/main" id="{00000000-0008-0000-0A00-0000F1000000}"/>
            </a:ext>
          </a:extLst>
        </xdr:cNvPr>
        <xdr:cNvCxnSpPr/>
      </xdr:nvCxnSpPr>
      <xdr:spPr>
        <a:xfrm>
          <a:off x="25036463" y="62924531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72</xdr:row>
      <xdr:rowOff>104775</xdr:rowOff>
    </xdr:from>
    <xdr:to>
      <xdr:col>5</xdr:col>
      <xdr:colOff>885825</xdr:colOff>
      <xdr:row>72</xdr:row>
      <xdr:rowOff>257175</xdr:rowOff>
    </xdr:to>
    <xdr:sp macro="" textlink="">
      <xdr:nvSpPr>
        <xdr:cNvPr id="242" name="Rectangle 241">
          <a:extLst>
            <a:ext uri="{FF2B5EF4-FFF2-40B4-BE49-F238E27FC236}">
              <a16:creationId xmlns:a16="http://schemas.microsoft.com/office/drawing/2014/main" id="{00000000-0008-0000-0A00-0000F2000000}"/>
            </a:ext>
          </a:extLst>
        </xdr:cNvPr>
        <xdr:cNvSpPr/>
      </xdr:nvSpPr>
      <xdr:spPr>
        <a:xfrm>
          <a:off x="24855488" y="6160055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72</xdr:row>
      <xdr:rowOff>1295400</xdr:rowOff>
    </xdr:from>
    <xdr:to>
      <xdr:col>5</xdr:col>
      <xdr:colOff>904875</xdr:colOff>
      <xdr:row>72</xdr:row>
      <xdr:rowOff>1447800</xdr:rowOff>
    </xdr:to>
    <xdr:sp macro="" textlink="">
      <xdr:nvSpPr>
        <xdr:cNvPr id="243" name="Rectangle 242">
          <a:extLst>
            <a:ext uri="{FF2B5EF4-FFF2-40B4-BE49-F238E27FC236}">
              <a16:creationId xmlns:a16="http://schemas.microsoft.com/office/drawing/2014/main" id="{00000000-0008-0000-0A00-0000F3000000}"/>
            </a:ext>
          </a:extLst>
        </xdr:cNvPr>
        <xdr:cNvSpPr/>
      </xdr:nvSpPr>
      <xdr:spPr>
        <a:xfrm>
          <a:off x="24874538" y="6279118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72</xdr:row>
      <xdr:rowOff>95250</xdr:rowOff>
    </xdr:from>
    <xdr:to>
      <xdr:col>5</xdr:col>
      <xdr:colOff>2143125</xdr:colOff>
      <xdr:row>72</xdr:row>
      <xdr:rowOff>247650</xdr:rowOff>
    </xdr:to>
    <xdr:sp macro="" textlink="">
      <xdr:nvSpPr>
        <xdr:cNvPr id="244" name="Rectangle 243">
          <a:extLst>
            <a:ext uri="{FF2B5EF4-FFF2-40B4-BE49-F238E27FC236}">
              <a16:creationId xmlns:a16="http://schemas.microsoft.com/office/drawing/2014/main" id="{00000000-0008-0000-0A00-0000F4000000}"/>
            </a:ext>
          </a:extLst>
        </xdr:cNvPr>
        <xdr:cNvSpPr/>
      </xdr:nvSpPr>
      <xdr:spPr>
        <a:xfrm>
          <a:off x="26112788" y="6159103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72</xdr:row>
      <xdr:rowOff>1295400</xdr:rowOff>
    </xdr:from>
    <xdr:to>
      <xdr:col>5</xdr:col>
      <xdr:colOff>2152650</xdr:colOff>
      <xdr:row>72</xdr:row>
      <xdr:rowOff>1447800</xdr:rowOff>
    </xdr:to>
    <xdr:sp macro="" textlink="">
      <xdr:nvSpPr>
        <xdr:cNvPr id="245" name="Rectangle 244">
          <a:extLst>
            <a:ext uri="{FF2B5EF4-FFF2-40B4-BE49-F238E27FC236}">
              <a16:creationId xmlns:a16="http://schemas.microsoft.com/office/drawing/2014/main" id="{00000000-0008-0000-0A00-0000F5000000}"/>
            </a:ext>
          </a:extLst>
        </xdr:cNvPr>
        <xdr:cNvSpPr/>
      </xdr:nvSpPr>
      <xdr:spPr>
        <a:xfrm>
          <a:off x="26122313" y="6279118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76</xdr:row>
      <xdr:rowOff>276225</xdr:rowOff>
    </xdr:from>
    <xdr:to>
      <xdr:col>5</xdr:col>
      <xdr:colOff>771525</xdr:colOff>
      <xdr:row>76</xdr:row>
      <xdr:rowOff>1314450</xdr:rowOff>
    </xdr:to>
    <xdr:cxnSp macro="">
      <xdr:nvCxnSpPr>
        <xdr:cNvPr id="246" name="Connecteur droit 245">
          <a:extLst>
            <a:ext uri="{FF2B5EF4-FFF2-40B4-BE49-F238E27FC236}">
              <a16:creationId xmlns:a16="http://schemas.microsoft.com/office/drawing/2014/main" id="{00000000-0008-0000-0A00-0000F6000000}"/>
            </a:ext>
          </a:extLst>
        </xdr:cNvPr>
        <xdr:cNvCxnSpPr/>
      </xdr:nvCxnSpPr>
      <xdr:spPr>
        <a:xfrm>
          <a:off x="24884063" y="64820006"/>
          <a:ext cx="9525" cy="10382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2114550</xdr:colOff>
      <xdr:row>76</xdr:row>
      <xdr:rowOff>266700</xdr:rowOff>
    </xdr:from>
    <xdr:to>
      <xdr:col>5</xdr:col>
      <xdr:colOff>2124075</xdr:colOff>
      <xdr:row>76</xdr:row>
      <xdr:rowOff>1304925</xdr:rowOff>
    </xdr:to>
    <xdr:cxnSp macro="">
      <xdr:nvCxnSpPr>
        <xdr:cNvPr id="247" name="Connecteur droit 246">
          <a:extLst>
            <a:ext uri="{FF2B5EF4-FFF2-40B4-BE49-F238E27FC236}">
              <a16:creationId xmlns:a16="http://schemas.microsoft.com/office/drawing/2014/main" id="{00000000-0008-0000-0A00-0000F7000000}"/>
            </a:ext>
          </a:extLst>
        </xdr:cNvPr>
        <xdr:cNvCxnSpPr/>
      </xdr:nvCxnSpPr>
      <xdr:spPr>
        <a:xfrm>
          <a:off x="26236613" y="64810481"/>
          <a:ext cx="9525" cy="10382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76</xdr:row>
      <xdr:rowOff>123825</xdr:rowOff>
    </xdr:from>
    <xdr:to>
      <xdr:col>5</xdr:col>
      <xdr:colOff>1962150</xdr:colOff>
      <xdr:row>76</xdr:row>
      <xdr:rowOff>123825</xdr:rowOff>
    </xdr:to>
    <xdr:cxnSp macro="">
      <xdr:nvCxnSpPr>
        <xdr:cNvPr id="248" name="Connecteur droit 247">
          <a:extLst>
            <a:ext uri="{FF2B5EF4-FFF2-40B4-BE49-F238E27FC236}">
              <a16:creationId xmlns:a16="http://schemas.microsoft.com/office/drawing/2014/main" id="{00000000-0008-0000-0A00-0000F8000000}"/>
            </a:ext>
          </a:extLst>
        </xdr:cNvPr>
        <xdr:cNvCxnSpPr/>
      </xdr:nvCxnSpPr>
      <xdr:spPr>
        <a:xfrm>
          <a:off x="25007888" y="64667606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914400</xdr:colOff>
      <xdr:row>76</xdr:row>
      <xdr:rowOff>1428750</xdr:rowOff>
    </xdr:from>
    <xdr:to>
      <xdr:col>5</xdr:col>
      <xdr:colOff>1990725</xdr:colOff>
      <xdr:row>76</xdr:row>
      <xdr:rowOff>1428750</xdr:rowOff>
    </xdr:to>
    <xdr:cxnSp macro="">
      <xdr:nvCxnSpPr>
        <xdr:cNvPr id="249" name="Connecteur droit 248">
          <a:extLst>
            <a:ext uri="{FF2B5EF4-FFF2-40B4-BE49-F238E27FC236}">
              <a16:creationId xmlns:a16="http://schemas.microsoft.com/office/drawing/2014/main" id="{00000000-0008-0000-0A00-0000F9000000}"/>
            </a:ext>
          </a:extLst>
        </xdr:cNvPr>
        <xdr:cNvCxnSpPr/>
      </xdr:nvCxnSpPr>
      <xdr:spPr>
        <a:xfrm>
          <a:off x="25036463" y="65972531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76</xdr:row>
      <xdr:rowOff>104775</xdr:rowOff>
    </xdr:from>
    <xdr:to>
      <xdr:col>5</xdr:col>
      <xdr:colOff>885825</xdr:colOff>
      <xdr:row>76</xdr:row>
      <xdr:rowOff>257175</xdr:rowOff>
    </xdr:to>
    <xdr:sp macro="" textlink="">
      <xdr:nvSpPr>
        <xdr:cNvPr id="250" name="Rectangle 249">
          <a:extLst>
            <a:ext uri="{FF2B5EF4-FFF2-40B4-BE49-F238E27FC236}">
              <a16:creationId xmlns:a16="http://schemas.microsoft.com/office/drawing/2014/main" id="{00000000-0008-0000-0A00-0000FA000000}"/>
            </a:ext>
          </a:extLst>
        </xdr:cNvPr>
        <xdr:cNvSpPr/>
      </xdr:nvSpPr>
      <xdr:spPr>
        <a:xfrm>
          <a:off x="24855488" y="6464855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76</xdr:row>
      <xdr:rowOff>1295400</xdr:rowOff>
    </xdr:from>
    <xdr:to>
      <xdr:col>5</xdr:col>
      <xdr:colOff>904875</xdr:colOff>
      <xdr:row>76</xdr:row>
      <xdr:rowOff>1447800</xdr:rowOff>
    </xdr:to>
    <xdr:sp macro="" textlink="">
      <xdr:nvSpPr>
        <xdr:cNvPr id="251" name="Rectangle 250">
          <a:extLst>
            <a:ext uri="{FF2B5EF4-FFF2-40B4-BE49-F238E27FC236}">
              <a16:creationId xmlns:a16="http://schemas.microsoft.com/office/drawing/2014/main" id="{00000000-0008-0000-0A00-0000FB000000}"/>
            </a:ext>
          </a:extLst>
        </xdr:cNvPr>
        <xdr:cNvSpPr/>
      </xdr:nvSpPr>
      <xdr:spPr>
        <a:xfrm>
          <a:off x="24874538" y="6583918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76</xdr:row>
      <xdr:rowOff>95250</xdr:rowOff>
    </xdr:from>
    <xdr:to>
      <xdr:col>5</xdr:col>
      <xdr:colOff>2143125</xdr:colOff>
      <xdr:row>76</xdr:row>
      <xdr:rowOff>247650</xdr:rowOff>
    </xdr:to>
    <xdr:sp macro="" textlink="">
      <xdr:nvSpPr>
        <xdr:cNvPr id="252" name="Rectangle 251">
          <a:extLst>
            <a:ext uri="{FF2B5EF4-FFF2-40B4-BE49-F238E27FC236}">
              <a16:creationId xmlns:a16="http://schemas.microsoft.com/office/drawing/2014/main" id="{00000000-0008-0000-0A00-0000FC000000}"/>
            </a:ext>
          </a:extLst>
        </xdr:cNvPr>
        <xdr:cNvSpPr/>
      </xdr:nvSpPr>
      <xdr:spPr>
        <a:xfrm>
          <a:off x="26112788" y="6463903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76</xdr:row>
      <xdr:rowOff>1295400</xdr:rowOff>
    </xdr:from>
    <xdr:to>
      <xdr:col>5</xdr:col>
      <xdr:colOff>2152650</xdr:colOff>
      <xdr:row>76</xdr:row>
      <xdr:rowOff>1447800</xdr:rowOff>
    </xdr:to>
    <xdr:sp macro="" textlink="">
      <xdr:nvSpPr>
        <xdr:cNvPr id="253" name="Rectangle 252">
          <a:extLst>
            <a:ext uri="{FF2B5EF4-FFF2-40B4-BE49-F238E27FC236}">
              <a16:creationId xmlns:a16="http://schemas.microsoft.com/office/drawing/2014/main" id="{00000000-0008-0000-0A00-0000FD000000}"/>
            </a:ext>
          </a:extLst>
        </xdr:cNvPr>
        <xdr:cNvSpPr/>
      </xdr:nvSpPr>
      <xdr:spPr>
        <a:xfrm>
          <a:off x="26122313" y="6583918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359021</xdr:colOff>
      <xdr:row>80</xdr:row>
      <xdr:rowOff>415437</xdr:rowOff>
    </xdr:from>
    <xdr:to>
      <xdr:col>5</xdr:col>
      <xdr:colOff>366346</xdr:colOff>
      <xdr:row>80</xdr:row>
      <xdr:rowOff>1201615</xdr:rowOff>
    </xdr:to>
    <xdr:cxnSp macro="">
      <xdr:nvCxnSpPr>
        <xdr:cNvPr id="254" name="Connecteur droit 253">
          <a:extLst>
            <a:ext uri="{FF2B5EF4-FFF2-40B4-BE49-F238E27FC236}">
              <a16:creationId xmlns:a16="http://schemas.microsoft.com/office/drawing/2014/main" id="{00000000-0008-0000-0A00-0000FE000000}"/>
            </a:ext>
          </a:extLst>
        </xdr:cNvPr>
        <xdr:cNvCxnSpPr/>
      </xdr:nvCxnSpPr>
      <xdr:spPr>
        <a:xfrm>
          <a:off x="24481084" y="68007218"/>
          <a:ext cx="7325" cy="78617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2337288</xdr:colOff>
      <xdr:row>80</xdr:row>
      <xdr:rowOff>391257</xdr:rowOff>
    </xdr:from>
    <xdr:to>
      <xdr:col>5</xdr:col>
      <xdr:colOff>2341686</xdr:colOff>
      <xdr:row>80</xdr:row>
      <xdr:rowOff>1230923</xdr:rowOff>
    </xdr:to>
    <xdr:cxnSp macro="">
      <xdr:nvCxnSpPr>
        <xdr:cNvPr id="255" name="Connecteur droit 254">
          <a:extLst>
            <a:ext uri="{FF2B5EF4-FFF2-40B4-BE49-F238E27FC236}">
              <a16:creationId xmlns:a16="http://schemas.microsoft.com/office/drawing/2014/main" id="{00000000-0008-0000-0A00-0000FF000000}"/>
            </a:ext>
          </a:extLst>
        </xdr:cNvPr>
        <xdr:cNvCxnSpPr/>
      </xdr:nvCxnSpPr>
      <xdr:spPr>
        <a:xfrm flipH="1">
          <a:off x="26459351" y="67983038"/>
          <a:ext cx="4398" cy="839666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80</xdr:row>
      <xdr:rowOff>276225</xdr:rowOff>
    </xdr:from>
    <xdr:to>
      <xdr:col>5</xdr:col>
      <xdr:colOff>2219325</xdr:colOff>
      <xdr:row>80</xdr:row>
      <xdr:rowOff>285750</xdr:rowOff>
    </xdr:to>
    <xdr:cxnSp macro="">
      <xdr:nvCxnSpPr>
        <xdr:cNvPr id="256" name="Connecteur droit 255">
          <a:extLst>
            <a:ext uri="{FF2B5EF4-FFF2-40B4-BE49-F238E27FC236}">
              <a16:creationId xmlns:a16="http://schemas.microsoft.com/office/drawing/2014/main" id="{00000000-0008-0000-0A00-000000010000}"/>
            </a:ext>
          </a:extLst>
        </xdr:cNvPr>
        <xdr:cNvCxnSpPr/>
      </xdr:nvCxnSpPr>
      <xdr:spPr>
        <a:xfrm flipV="1">
          <a:off x="24626888" y="67868006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80</xdr:row>
      <xdr:rowOff>1356945</xdr:rowOff>
    </xdr:from>
    <xdr:to>
      <xdr:col>5</xdr:col>
      <xdr:colOff>2203205</xdr:colOff>
      <xdr:row>80</xdr:row>
      <xdr:rowOff>1370133</xdr:rowOff>
    </xdr:to>
    <xdr:cxnSp macro="">
      <xdr:nvCxnSpPr>
        <xdr:cNvPr id="257" name="Connecteur droit 256">
          <a:extLst>
            <a:ext uri="{FF2B5EF4-FFF2-40B4-BE49-F238E27FC236}">
              <a16:creationId xmlns:a16="http://schemas.microsoft.com/office/drawing/2014/main" id="{00000000-0008-0000-0A00-000001010000}"/>
            </a:ext>
          </a:extLst>
        </xdr:cNvPr>
        <xdr:cNvCxnSpPr/>
      </xdr:nvCxnSpPr>
      <xdr:spPr>
        <a:xfrm>
          <a:off x="24587323" y="68948726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80</xdr:row>
      <xdr:rowOff>262303</xdr:rowOff>
    </xdr:from>
    <xdr:to>
      <xdr:col>5</xdr:col>
      <xdr:colOff>493102</xdr:colOff>
      <xdr:row>80</xdr:row>
      <xdr:rowOff>414703</xdr:rowOff>
    </xdr:to>
    <xdr:sp macro="" textlink="">
      <xdr:nvSpPr>
        <xdr:cNvPr id="258" name="Rectangle 257">
          <a:extLst>
            <a:ext uri="{FF2B5EF4-FFF2-40B4-BE49-F238E27FC236}">
              <a16:creationId xmlns:a16="http://schemas.microsoft.com/office/drawing/2014/main" id="{00000000-0008-0000-0A00-000002010000}"/>
            </a:ext>
          </a:extLst>
        </xdr:cNvPr>
        <xdr:cNvSpPr/>
      </xdr:nvSpPr>
      <xdr:spPr>
        <a:xfrm>
          <a:off x="24462765" y="6785408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80</xdr:row>
      <xdr:rowOff>1214804</xdr:rowOff>
    </xdr:from>
    <xdr:to>
      <xdr:col>5</xdr:col>
      <xdr:colOff>487241</xdr:colOff>
      <xdr:row>80</xdr:row>
      <xdr:rowOff>1367204</xdr:rowOff>
    </xdr:to>
    <xdr:sp macro="" textlink="">
      <xdr:nvSpPr>
        <xdr:cNvPr id="259" name="Rectangle 258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SpPr/>
      </xdr:nvSpPr>
      <xdr:spPr>
        <a:xfrm>
          <a:off x="24456904" y="6880658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80</xdr:row>
      <xdr:rowOff>244719</xdr:rowOff>
    </xdr:from>
    <xdr:to>
      <xdr:col>5</xdr:col>
      <xdr:colOff>2380518</xdr:colOff>
      <xdr:row>80</xdr:row>
      <xdr:rowOff>397119</xdr:rowOff>
    </xdr:to>
    <xdr:sp macro="" textlink="">
      <xdr:nvSpPr>
        <xdr:cNvPr id="260" name="Rectangle 259">
          <a:extLst>
            <a:ext uri="{FF2B5EF4-FFF2-40B4-BE49-F238E27FC236}">
              <a16:creationId xmlns:a16="http://schemas.microsoft.com/office/drawing/2014/main" id="{00000000-0008-0000-0A00-000004010000}"/>
            </a:ext>
          </a:extLst>
        </xdr:cNvPr>
        <xdr:cNvSpPr/>
      </xdr:nvSpPr>
      <xdr:spPr>
        <a:xfrm>
          <a:off x="26350181" y="678365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80</xdr:row>
      <xdr:rowOff>1244111</xdr:rowOff>
    </xdr:from>
    <xdr:to>
      <xdr:col>5</xdr:col>
      <xdr:colOff>2372458</xdr:colOff>
      <xdr:row>80</xdr:row>
      <xdr:rowOff>1396511</xdr:rowOff>
    </xdr:to>
    <xdr:sp macro="" textlink="">
      <xdr:nvSpPr>
        <xdr:cNvPr id="261" name="Rectangle 260">
          <a:extLst>
            <a:ext uri="{FF2B5EF4-FFF2-40B4-BE49-F238E27FC236}">
              <a16:creationId xmlns:a16="http://schemas.microsoft.com/office/drawing/2014/main" id="{00000000-0008-0000-0A00-000005010000}"/>
            </a:ext>
          </a:extLst>
        </xdr:cNvPr>
        <xdr:cNvSpPr/>
      </xdr:nvSpPr>
      <xdr:spPr>
        <a:xfrm>
          <a:off x="26342121" y="688358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388327</xdr:colOff>
      <xdr:row>80</xdr:row>
      <xdr:rowOff>791308</xdr:rowOff>
    </xdr:from>
    <xdr:to>
      <xdr:col>5</xdr:col>
      <xdr:colOff>2293327</xdr:colOff>
      <xdr:row>80</xdr:row>
      <xdr:rowOff>849923</xdr:rowOff>
    </xdr:to>
    <xdr:sp macro="" textlink="">
      <xdr:nvSpPr>
        <xdr:cNvPr id="262" name="Rectangle 261">
          <a:extLst>
            <a:ext uri="{FF2B5EF4-FFF2-40B4-BE49-F238E27FC236}">
              <a16:creationId xmlns:a16="http://schemas.microsoft.com/office/drawing/2014/main" id="{00000000-0008-0000-0A00-000006010000}"/>
            </a:ext>
          </a:extLst>
        </xdr:cNvPr>
        <xdr:cNvSpPr/>
      </xdr:nvSpPr>
      <xdr:spPr>
        <a:xfrm>
          <a:off x="24510390" y="6838308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82</xdr:row>
      <xdr:rowOff>262303</xdr:rowOff>
    </xdr:from>
    <xdr:to>
      <xdr:col>5</xdr:col>
      <xdr:colOff>493102</xdr:colOff>
      <xdr:row>82</xdr:row>
      <xdr:rowOff>414703</xdr:rowOff>
    </xdr:to>
    <xdr:sp macro="" textlink="">
      <xdr:nvSpPr>
        <xdr:cNvPr id="267" name="Rectangle 266">
          <a:extLst>
            <a:ext uri="{FF2B5EF4-FFF2-40B4-BE49-F238E27FC236}">
              <a16:creationId xmlns:a16="http://schemas.microsoft.com/office/drawing/2014/main" id="{00000000-0008-0000-0A00-00000B010000}"/>
            </a:ext>
          </a:extLst>
        </xdr:cNvPr>
        <xdr:cNvSpPr/>
      </xdr:nvSpPr>
      <xdr:spPr>
        <a:xfrm>
          <a:off x="27177390" y="7547408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82</xdr:row>
      <xdr:rowOff>1214804</xdr:rowOff>
    </xdr:from>
    <xdr:to>
      <xdr:col>5</xdr:col>
      <xdr:colOff>487241</xdr:colOff>
      <xdr:row>82</xdr:row>
      <xdr:rowOff>1367204</xdr:rowOff>
    </xdr:to>
    <xdr:sp macro="" textlink="">
      <xdr:nvSpPr>
        <xdr:cNvPr id="268" name="Rectangle 267">
          <a:extLst>
            <a:ext uri="{FF2B5EF4-FFF2-40B4-BE49-F238E27FC236}">
              <a16:creationId xmlns:a16="http://schemas.microsoft.com/office/drawing/2014/main" id="{00000000-0008-0000-0A00-00000C010000}"/>
            </a:ext>
          </a:extLst>
        </xdr:cNvPr>
        <xdr:cNvSpPr/>
      </xdr:nvSpPr>
      <xdr:spPr>
        <a:xfrm>
          <a:off x="27171529" y="7642658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82</xdr:row>
      <xdr:rowOff>244719</xdr:rowOff>
    </xdr:from>
    <xdr:to>
      <xdr:col>5</xdr:col>
      <xdr:colOff>2380518</xdr:colOff>
      <xdr:row>82</xdr:row>
      <xdr:rowOff>397119</xdr:rowOff>
    </xdr:to>
    <xdr:sp macro="" textlink="">
      <xdr:nvSpPr>
        <xdr:cNvPr id="269" name="Rectangle 268">
          <a:extLst>
            <a:ext uri="{FF2B5EF4-FFF2-40B4-BE49-F238E27FC236}">
              <a16:creationId xmlns:a16="http://schemas.microsoft.com/office/drawing/2014/main" id="{00000000-0008-0000-0A00-00000D010000}"/>
            </a:ext>
          </a:extLst>
        </xdr:cNvPr>
        <xdr:cNvSpPr/>
      </xdr:nvSpPr>
      <xdr:spPr>
        <a:xfrm>
          <a:off x="29064806" y="754565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82</xdr:row>
      <xdr:rowOff>1244111</xdr:rowOff>
    </xdr:from>
    <xdr:to>
      <xdr:col>5</xdr:col>
      <xdr:colOff>2372458</xdr:colOff>
      <xdr:row>82</xdr:row>
      <xdr:rowOff>1396511</xdr:rowOff>
    </xdr:to>
    <xdr:sp macro="" textlink="">
      <xdr:nvSpPr>
        <xdr:cNvPr id="270" name="Rectangle 269">
          <a:extLst>
            <a:ext uri="{FF2B5EF4-FFF2-40B4-BE49-F238E27FC236}">
              <a16:creationId xmlns:a16="http://schemas.microsoft.com/office/drawing/2014/main" id="{00000000-0008-0000-0A00-00000E010000}"/>
            </a:ext>
          </a:extLst>
        </xdr:cNvPr>
        <xdr:cNvSpPr/>
      </xdr:nvSpPr>
      <xdr:spPr>
        <a:xfrm>
          <a:off x="29056746" y="764558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410308</xdr:colOff>
      <xdr:row>82</xdr:row>
      <xdr:rowOff>805962</xdr:rowOff>
    </xdr:from>
    <xdr:to>
      <xdr:col>5</xdr:col>
      <xdr:colOff>2315308</xdr:colOff>
      <xdr:row>82</xdr:row>
      <xdr:rowOff>864577</xdr:rowOff>
    </xdr:to>
    <xdr:sp macro="" textlink="">
      <xdr:nvSpPr>
        <xdr:cNvPr id="271" name="Rectangle 270">
          <a:extLst>
            <a:ext uri="{FF2B5EF4-FFF2-40B4-BE49-F238E27FC236}">
              <a16:creationId xmlns:a16="http://schemas.microsoft.com/office/drawing/2014/main" id="{00000000-0008-0000-0A00-00000F010000}"/>
            </a:ext>
          </a:extLst>
        </xdr:cNvPr>
        <xdr:cNvSpPr/>
      </xdr:nvSpPr>
      <xdr:spPr>
        <a:xfrm>
          <a:off x="27246996" y="76017743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83</xdr:row>
      <xdr:rowOff>262303</xdr:rowOff>
    </xdr:from>
    <xdr:to>
      <xdr:col>5</xdr:col>
      <xdr:colOff>493102</xdr:colOff>
      <xdr:row>83</xdr:row>
      <xdr:rowOff>414703</xdr:rowOff>
    </xdr:to>
    <xdr:sp macro="" textlink="">
      <xdr:nvSpPr>
        <xdr:cNvPr id="272" name="Rectangle 271">
          <a:extLst>
            <a:ext uri="{FF2B5EF4-FFF2-40B4-BE49-F238E27FC236}">
              <a16:creationId xmlns:a16="http://schemas.microsoft.com/office/drawing/2014/main" id="{00000000-0008-0000-0A00-000010010000}"/>
            </a:ext>
          </a:extLst>
        </xdr:cNvPr>
        <xdr:cNvSpPr/>
      </xdr:nvSpPr>
      <xdr:spPr>
        <a:xfrm>
          <a:off x="10889640" y="7489067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83</xdr:row>
      <xdr:rowOff>1214804</xdr:rowOff>
    </xdr:from>
    <xdr:to>
      <xdr:col>5</xdr:col>
      <xdr:colOff>487241</xdr:colOff>
      <xdr:row>83</xdr:row>
      <xdr:rowOff>1367204</xdr:rowOff>
    </xdr:to>
    <xdr:sp macro="" textlink="">
      <xdr:nvSpPr>
        <xdr:cNvPr id="273" name="Rectangle 272">
          <a:extLst>
            <a:ext uri="{FF2B5EF4-FFF2-40B4-BE49-F238E27FC236}">
              <a16:creationId xmlns:a16="http://schemas.microsoft.com/office/drawing/2014/main" id="{00000000-0008-0000-0A00-000011010000}"/>
            </a:ext>
          </a:extLst>
        </xdr:cNvPr>
        <xdr:cNvSpPr/>
      </xdr:nvSpPr>
      <xdr:spPr>
        <a:xfrm>
          <a:off x="10883779" y="7584317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83</xdr:row>
      <xdr:rowOff>244719</xdr:rowOff>
    </xdr:from>
    <xdr:to>
      <xdr:col>5</xdr:col>
      <xdr:colOff>2380518</xdr:colOff>
      <xdr:row>83</xdr:row>
      <xdr:rowOff>397119</xdr:rowOff>
    </xdr:to>
    <xdr:sp macro="" textlink="">
      <xdr:nvSpPr>
        <xdr:cNvPr id="274" name="Rectangle 273">
          <a:extLst>
            <a:ext uri="{FF2B5EF4-FFF2-40B4-BE49-F238E27FC236}">
              <a16:creationId xmlns:a16="http://schemas.microsoft.com/office/drawing/2014/main" id="{00000000-0008-0000-0A00-000012010000}"/>
            </a:ext>
          </a:extLst>
        </xdr:cNvPr>
        <xdr:cNvSpPr/>
      </xdr:nvSpPr>
      <xdr:spPr>
        <a:xfrm>
          <a:off x="12777056" y="7487309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83</xdr:row>
      <xdr:rowOff>1244111</xdr:rowOff>
    </xdr:from>
    <xdr:to>
      <xdr:col>5</xdr:col>
      <xdr:colOff>2372458</xdr:colOff>
      <xdr:row>83</xdr:row>
      <xdr:rowOff>1396511</xdr:rowOff>
    </xdr:to>
    <xdr:sp macro="" textlink="">
      <xdr:nvSpPr>
        <xdr:cNvPr id="275" name="Rectangle 274">
          <a:extLst>
            <a:ext uri="{FF2B5EF4-FFF2-40B4-BE49-F238E27FC236}">
              <a16:creationId xmlns:a16="http://schemas.microsoft.com/office/drawing/2014/main" id="{00000000-0008-0000-0A00-000013010000}"/>
            </a:ext>
          </a:extLst>
        </xdr:cNvPr>
        <xdr:cNvSpPr/>
      </xdr:nvSpPr>
      <xdr:spPr>
        <a:xfrm>
          <a:off x="12768996" y="758724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410308</xdr:colOff>
      <xdr:row>83</xdr:row>
      <xdr:rowOff>805962</xdr:rowOff>
    </xdr:from>
    <xdr:to>
      <xdr:col>5</xdr:col>
      <xdr:colOff>2315308</xdr:colOff>
      <xdr:row>83</xdr:row>
      <xdr:rowOff>864577</xdr:rowOff>
    </xdr:to>
    <xdr:sp macro="" textlink="">
      <xdr:nvSpPr>
        <xdr:cNvPr id="276" name="Rectangle 275">
          <a:extLst>
            <a:ext uri="{FF2B5EF4-FFF2-40B4-BE49-F238E27FC236}">
              <a16:creationId xmlns:a16="http://schemas.microsoft.com/office/drawing/2014/main" id="{00000000-0008-0000-0A00-000014010000}"/>
            </a:ext>
          </a:extLst>
        </xdr:cNvPr>
        <xdr:cNvSpPr/>
      </xdr:nvSpPr>
      <xdr:spPr>
        <a:xfrm>
          <a:off x="10959246" y="7543433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79</xdr:row>
      <xdr:rowOff>262303</xdr:rowOff>
    </xdr:from>
    <xdr:to>
      <xdr:col>5</xdr:col>
      <xdr:colOff>493102</xdr:colOff>
      <xdr:row>79</xdr:row>
      <xdr:rowOff>414703</xdr:rowOff>
    </xdr:to>
    <xdr:sp macro="" textlink="">
      <xdr:nvSpPr>
        <xdr:cNvPr id="208" name="Rectangle 207">
          <a:extLst>
            <a:ext uri="{FF2B5EF4-FFF2-40B4-BE49-F238E27FC236}">
              <a16:creationId xmlns:a16="http://schemas.microsoft.com/office/drawing/2014/main" id="{00000000-0008-0000-0A00-0000D0000000}"/>
            </a:ext>
          </a:extLst>
        </xdr:cNvPr>
        <xdr:cNvSpPr/>
      </xdr:nvSpPr>
      <xdr:spPr>
        <a:xfrm>
          <a:off x="10889640" y="6879467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79</xdr:row>
      <xdr:rowOff>1214804</xdr:rowOff>
    </xdr:from>
    <xdr:to>
      <xdr:col>5</xdr:col>
      <xdr:colOff>487241</xdr:colOff>
      <xdr:row>79</xdr:row>
      <xdr:rowOff>1367204</xdr:rowOff>
    </xdr:to>
    <xdr:sp macro="" textlink="">
      <xdr:nvSpPr>
        <xdr:cNvPr id="209" name="Rectangle 208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SpPr/>
      </xdr:nvSpPr>
      <xdr:spPr>
        <a:xfrm>
          <a:off x="10883779" y="6974717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79</xdr:row>
      <xdr:rowOff>244719</xdr:rowOff>
    </xdr:from>
    <xdr:to>
      <xdr:col>5</xdr:col>
      <xdr:colOff>2380518</xdr:colOff>
      <xdr:row>79</xdr:row>
      <xdr:rowOff>397119</xdr:rowOff>
    </xdr:to>
    <xdr:sp macro="" textlink="">
      <xdr:nvSpPr>
        <xdr:cNvPr id="212" name="Rectangle 211">
          <a:extLst>
            <a:ext uri="{FF2B5EF4-FFF2-40B4-BE49-F238E27FC236}">
              <a16:creationId xmlns:a16="http://schemas.microsoft.com/office/drawing/2014/main" id="{00000000-0008-0000-0A00-0000D4000000}"/>
            </a:ext>
          </a:extLst>
        </xdr:cNvPr>
        <xdr:cNvSpPr/>
      </xdr:nvSpPr>
      <xdr:spPr>
        <a:xfrm>
          <a:off x="12777056" y="6877709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79</xdr:row>
      <xdr:rowOff>1244111</xdr:rowOff>
    </xdr:from>
    <xdr:to>
      <xdr:col>5</xdr:col>
      <xdr:colOff>2372458</xdr:colOff>
      <xdr:row>79</xdr:row>
      <xdr:rowOff>1396511</xdr:rowOff>
    </xdr:to>
    <xdr:sp macro="" textlink="">
      <xdr:nvSpPr>
        <xdr:cNvPr id="213" name="Rectangle 212">
          <a:extLst>
            <a:ext uri="{FF2B5EF4-FFF2-40B4-BE49-F238E27FC236}">
              <a16:creationId xmlns:a16="http://schemas.microsoft.com/office/drawing/2014/main" id="{00000000-0008-0000-0A00-0000D5000000}"/>
            </a:ext>
          </a:extLst>
        </xdr:cNvPr>
        <xdr:cNvSpPr/>
      </xdr:nvSpPr>
      <xdr:spPr>
        <a:xfrm>
          <a:off x="12768996" y="697764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388327</xdr:colOff>
      <xdr:row>79</xdr:row>
      <xdr:rowOff>791308</xdr:rowOff>
    </xdr:from>
    <xdr:to>
      <xdr:col>5</xdr:col>
      <xdr:colOff>2293327</xdr:colOff>
      <xdr:row>79</xdr:row>
      <xdr:rowOff>849923</xdr:rowOff>
    </xdr:to>
    <xdr:sp macro="" textlink="">
      <xdr:nvSpPr>
        <xdr:cNvPr id="214" name="Rectangle 213">
          <a:extLst>
            <a:ext uri="{FF2B5EF4-FFF2-40B4-BE49-F238E27FC236}">
              <a16:creationId xmlns:a16="http://schemas.microsoft.com/office/drawing/2014/main" id="{00000000-0008-0000-0A00-0000D6000000}"/>
            </a:ext>
          </a:extLst>
        </xdr:cNvPr>
        <xdr:cNvSpPr/>
      </xdr:nvSpPr>
      <xdr:spPr>
        <a:xfrm>
          <a:off x="10937265" y="69323683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71</xdr:row>
      <xdr:rowOff>104775</xdr:rowOff>
    </xdr:from>
    <xdr:to>
      <xdr:col>5</xdr:col>
      <xdr:colOff>885825</xdr:colOff>
      <xdr:row>71</xdr:row>
      <xdr:rowOff>257175</xdr:rowOff>
    </xdr:to>
    <xdr:sp macro="" textlink="">
      <xdr:nvSpPr>
        <xdr:cNvPr id="264" name="Rectangle 263">
          <a:extLst>
            <a:ext uri="{FF2B5EF4-FFF2-40B4-BE49-F238E27FC236}">
              <a16:creationId xmlns:a16="http://schemas.microsoft.com/office/drawing/2014/main" id="{00000000-0008-0000-0A00-000008010000}"/>
            </a:ext>
          </a:extLst>
        </xdr:cNvPr>
        <xdr:cNvSpPr/>
      </xdr:nvSpPr>
      <xdr:spPr>
        <a:xfrm>
          <a:off x="11282363" y="625411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71</xdr:row>
      <xdr:rowOff>1295400</xdr:rowOff>
    </xdr:from>
    <xdr:to>
      <xdr:col>5</xdr:col>
      <xdr:colOff>904875</xdr:colOff>
      <xdr:row>71</xdr:row>
      <xdr:rowOff>1447800</xdr:rowOff>
    </xdr:to>
    <xdr:sp macro="" textlink="">
      <xdr:nvSpPr>
        <xdr:cNvPr id="265" name="Rectangle 264">
          <a:extLst>
            <a:ext uri="{FF2B5EF4-FFF2-40B4-BE49-F238E27FC236}">
              <a16:creationId xmlns:a16="http://schemas.microsoft.com/office/drawing/2014/main" id="{00000000-0008-0000-0A00-000009010000}"/>
            </a:ext>
          </a:extLst>
        </xdr:cNvPr>
        <xdr:cNvSpPr/>
      </xdr:nvSpPr>
      <xdr:spPr>
        <a:xfrm>
          <a:off x="11301413" y="63731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71</xdr:row>
      <xdr:rowOff>95250</xdr:rowOff>
    </xdr:from>
    <xdr:to>
      <xdr:col>5</xdr:col>
      <xdr:colOff>2143125</xdr:colOff>
      <xdr:row>71</xdr:row>
      <xdr:rowOff>247650</xdr:rowOff>
    </xdr:to>
    <xdr:sp macro="" textlink="">
      <xdr:nvSpPr>
        <xdr:cNvPr id="266" name="Rectangle 265">
          <a:extLst>
            <a:ext uri="{FF2B5EF4-FFF2-40B4-BE49-F238E27FC236}">
              <a16:creationId xmlns:a16="http://schemas.microsoft.com/office/drawing/2014/main" id="{00000000-0008-0000-0A00-00000A010000}"/>
            </a:ext>
          </a:extLst>
        </xdr:cNvPr>
        <xdr:cNvSpPr/>
      </xdr:nvSpPr>
      <xdr:spPr>
        <a:xfrm>
          <a:off x="12539663" y="625316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71</xdr:row>
      <xdr:rowOff>1295400</xdr:rowOff>
    </xdr:from>
    <xdr:to>
      <xdr:col>5</xdr:col>
      <xdr:colOff>2152650</xdr:colOff>
      <xdr:row>71</xdr:row>
      <xdr:rowOff>1447800</xdr:rowOff>
    </xdr:to>
    <xdr:sp macro="" textlink="">
      <xdr:nvSpPr>
        <xdr:cNvPr id="284" name="Rectangle 283">
          <a:extLst>
            <a:ext uri="{FF2B5EF4-FFF2-40B4-BE49-F238E27FC236}">
              <a16:creationId xmlns:a16="http://schemas.microsoft.com/office/drawing/2014/main" id="{00000000-0008-0000-0A00-00001C010000}"/>
            </a:ext>
          </a:extLst>
        </xdr:cNvPr>
        <xdr:cNvSpPr/>
      </xdr:nvSpPr>
      <xdr:spPr>
        <a:xfrm>
          <a:off x="12549188" y="63731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75</xdr:row>
      <xdr:rowOff>104775</xdr:rowOff>
    </xdr:from>
    <xdr:to>
      <xdr:col>5</xdr:col>
      <xdr:colOff>885825</xdr:colOff>
      <xdr:row>75</xdr:row>
      <xdr:rowOff>257175</xdr:rowOff>
    </xdr:to>
    <xdr:sp macro="" textlink="">
      <xdr:nvSpPr>
        <xdr:cNvPr id="289" name="Rectangle 288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SpPr/>
      </xdr:nvSpPr>
      <xdr:spPr>
        <a:xfrm>
          <a:off x="11282363" y="671131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75</xdr:row>
      <xdr:rowOff>1295400</xdr:rowOff>
    </xdr:from>
    <xdr:to>
      <xdr:col>5</xdr:col>
      <xdr:colOff>904875</xdr:colOff>
      <xdr:row>75</xdr:row>
      <xdr:rowOff>1447800</xdr:rowOff>
    </xdr:to>
    <xdr:sp macro="" textlink="">
      <xdr:nvSpPr>
        <xdr:cNvPr id="290" name="Rectangle 289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SpPr/>
      </xdr:nvSpPr>
      <xdr:spPr>
        <a:xfrm>
          <a:off x="11301413" y="68303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75</xdr:row>
      <xdr:rowOff>95250</xdr:rowOff>
    </xdr:from>
    <xdr:to>
      <xdr:col>5</xdr:col>
      <xdr:colOff>2143125</xdr:colOff>
      <xdr:row>75</xdr:row>
      <xdr:rowOff>247650</xdr:rowOff>
    </xdr:to>
    <xdr:sp macro="" textlink="">
      <xdr:nvSpPr>
        <xdr:cNvPr id="291" name="Rectangle 290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SpPr/>
      </xdr:nvSpPr>
      <xdr:spPr>
        <a:xfrm>
          <a:off x="12539663" y="671036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75</xdr:row>
      <xdr:rowOff>1295400</xdr:rowOff>
    </xdr:from>
    <xdr:to>
      <xdr:col>5</xdr:col>
      <xdr:colOff>2152650</xdr:colOff>
      <xdr:row>75</xdr:row>
      <xdr:rowOff>1447800</xdr:rowOff>
    </xdr:to>
    <xdr:sp macro="" textlink="">
      <xdr:nvSpPr>
        <xdr:cNvPr id="292" name="Rectangle 291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SpPr/>
      </xdr:nvSpPr>
      <xdr:spPr>
        <a:xfrm>
          <a:off x="12549188" y="68303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785813</xdr:colOff>
      <xdr:row>71</xdr:row>
      <xdr:rowOff>762000</xdr:rowOff>
    </xdr:from>
    <xdr:to>
      <xdr:col>5</xdr:col>
      <xdr:colOff>2131219</xdr:colOff>
      <xdr:row>71</xdr:row>
      <xdr:rowOff>807719</xdr:rowOff>
    </xdr:to>
    <xdr:sp macro="" textlink="">
      <xdr:nvSpPr>
        <xdr:cNvPr id="297" name="Rectangle 296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SpPr/>
      </xdr:nvSpPr>
      <xdr:spPr>
        <a:xfrm>
          <a:off x="11334751" y="6472237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773907</xdr:colOff>
      <xdr:row>75</xdr:row>
      <xdr:rowOff>738188</xdr:rowOff>
    </xdr:from>
    <xdr:to>
      <xdr:col>5</xdr:col>
      <xdr:colOff>2119313</xdr:colOff>
      <xdr:row>75</xdr:row>
      <xdr:rowOff>783907</xdr:rowOff>
    </xdr:to>
    <xdr:sp macro="" textlink="">
      <xdr:nvSpPr>
        <xdr:cNvPr id="298" name="Rectangle 297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SpPr/>
      </xdr:nvSpPr>
      <xdr:spPr>
        <a:xfrm>
          <a:off x="11322845" y="6927056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888887</xdr:colOff>
      <xdr:row>71</xdr:row>
      <xdr:rowOff>661465</xdr:rowOff>
    </xdr:from>
    <xdr:to>
      <xdr:col>5</xdr:col>
      <xdr:colOff>1123349</xdr:colOff>
      <xdr:row>71</xdr:row>
      <xdr:rowOff>888599</xdr:rowOff>
    </xdr:to>
    <xdr:sp macro="" textlink="">
      <xdr:nvSpPr>
        <xdr:cNvPr id="299" name="Organigramme : Jonction de sommaire 298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SpPr/>
      </xdr:nvSpPr>
      <xdr:spPr>
        <a:xfrm>
          <a:off x="11566412" y="6502189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1812863</xdr:colOff>
      <xdr:row>71</xdr:row>
      <xdr:rowOff>666750</xdr:rowOff>
    </xdr:from>
    <xdr:to>
      <xdr:col>5</xdr:col>
      <xdr:colOff>2047325</xdr:colOff>
      <xdr:row>71</xdr:row>
      <xdr:rowOff>893884</xdr:rowOff>
    </xdr:to>
    <xdr:sp macro="" textlink="">
      <xdr:nvSpPr>
        <xdr:cNvPr id="300" name="Organigramme : Jonction de sommaire 299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SpPr/>
      </xdr:nvSpPr>
      <xdr:spPr>
        <a:xfrm>
          <a:off x="12490388" y="650271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77</xdr:row>
      <xdr:rowOff>276225</xdr:rowOff>
    </xdr:from>
    <xdr:to>
      <xdr:col>5</xdr:col>
      <xdr:colOff>771525</xdr:colOff>
      <xdr:row>77</xdr:row>
      <xdr:rowOff>1314450</xdr:rowOff>
    </xdr:to>
    <xdr:cxnSp macro="">
      <xdr:nvCxnSpPr>
        <xdr:cNvPr id="307" name="Connecteur droit 306">
          <a:extLst>
            <a:ext uri="{FF2B5EF4-FFF2-40B4-BE49-F238E27FC236}">
              <a16:creationId xmlns:a16="http://schemas.microsoft.com/office/drawing/2014/main" id="{00000000-0008-0000-0A00-000033010000}"/>
            </a:ext>
          </a:extLst>
        </xdr:cNvPr>
        <xdr:cNvCxnSpPr/>
      </xdr:nvCxnSpPr>
      <xdr:spPr>
        <a:xfrm>
          <a:off x="11310938" y="71856600"/>
          <a:ext cx="9525" cy="10382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2114550</xdr:colOff>
      <xdr:row>77</xdr:row>
      <xdr:rowOff>266700</xdr:rowOff>
    </xdr:from>
    <xdr:to>
      <xdr:col>5</xdr:col>
      <xdr:colOff>2124075</xdr:colOff>
      <xdr:row>77</xdr:row>
      <xdr:rowOff>1304925</xdr:rowOff>
    </xdr:to>
    <xdr:cxnSp macro="">
      <xdr:nvCxnSpPr>
        <xdr:cNvPr id="308" name="Connecteur droit 307">
          <a:extLst>
            <a:ext uri="{FF2B5EF4-FFF2-40B4-BE49-F238E27FC236}">
              <a16:creationId xmlns:a16="http://schemas.microsoft.com/office/drawing/2014/main" id="{00000000-0008-0000-0A00-000034010000}"/>
            </a:ext>
          </a:extLst>
        </xdr:cNvPr>
        <xdr:cNvCxnSpPr/>
      </xdr:nvCxnSpPr>
      <xdr:spPr>
        <a:xfrm>
          <a:off x="12663488" y="71847075"/>
          <a:ext cx="9525" cy="10382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77</xdr:row>
      <xdr:rowOff>123825</xdr:rowOff>
    </xdr:from>
    <xdr:to>
      <xdr:col>5</xdr:col>
      <xdr:colOff>1962150</xdr:colOff>
      <xdr:row>77</xdr:row>
      <xdr:rowOff>123825</xdr:rowOff>
    </xdr:to>
    <xdr:cxnSp macro="">
      <xdr:nvCxnSpPr>
        <xdr:cNvPr id="309" name="Connecteur droit 308">
          <a:extLst>
            <a:ext uri="{FF2B5EF4-FFF2-40B4-BE49-F238E27FC236}">
              <a16:creationId xmlns:a16="http://schemas.microsoft.com/office/drawing/2014/main" id="{00000000-0008-0000-0A00-000035010000}"/>
            </a:ext>
          </a:extLst>
        </xdr:cNvPr>
        <xdr:cNvCxnSpPr/>
      </xdr:nvCxnSpPr>
      <xdr:spPr>
        <a:xfrm>
          <a:off x="11434763" y="71704200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914400</xdr:colOff>
      <xdr:row>77</xdr:row>
      <xdr:rowOff>1428750</xdr:rowOff>
    </xdr:from>
    <xdr:to>
      <xdr:col>5</xdr:col>
      <xdr:colOff>1990725</xdr:colOff>
      <xdr:row>77</xdr:row>
      <xdr:rowOff>1428750</xdr:rowOff>
    </xdr:to>
    <xdr:cxnSp macro="">
      <xdr:nvCxnSpPr>
        <xdr:cNvPr id="310" name="Connecteur droit 309">
          <a:extLst>
            <a:ext uri="{FF2B5EF4-FFF2-40B4-BE49-F238E27FC236}">
              <a16:creationId xmlns:a16="http://schemas.microsoft.com/office/drawing/2014/main" id="{00000000-0008-0000-0A00-000036010000}"/>
            </a:ext>
          </a:extLst>
        </xdr:cNvPr>
        <xdr:cNvCxnSpPr/>
      </xdr:nvCxnSpPr>
      <xdr:spPr>
        <a:xfrm>
          <a:off x="11463338" y="73009125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77</xdr:row>
      <xdr:rowOff>104775</xdr:rowOff>
    </xdr:from>
    <xdr:to>
      <xdr:col>5</xdr:col>
      <xdr:colOff>885825</xdr:colOff>
      <xdr:row>77</xdr:row>
      <xdr:rowOff>257175</xdr:rowOff>
    </xdr:to>
    <xdr:sp macro="" textlink="">
      <xdr:nvSpPr>
        <xdr:cNvPr id="311" name="Rectangle 310">
          <a:extLst>
            <a:ext uri="{FF2B5EF4-FFF2-40B4-BE49-F238E27FC236}">
              <a16:creationId xmlns:a16="http://schemas.microsoft.com/office/drawing/2014/main" id="{00000000-0008-0000-0A00-000037010000}"/>
            </a:ext>
          </a:extLst>
        </xdr:cNvPr>
        <xdr:cNvSpPr/>
      </xdr:nvSpPr>
      <xdr:spPr>
        <a:xfrm>
          <a:off x="11282363" y="716851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77</xdr:row>
      <xdr:rowOff>1295400</xdr:rowOff>
    </xdr:from>
    <xdr:to>
      <xdr:col>5</xdr:col>
      <xdr:colOff>904875</xdr:colOff>
      <xdr:row>77</xdr:row>
      <xdr:rowOff>1447800</xdr:rowOff>
    </xdr:to>
    <xdr:sp macro="" textlink="">
      <xdr:nvSpPr>
        <xdr:cNvPr id="312" name="Rectangle 311">
          <a:extLst>
            <a:ext uri="{FF2B5EF4-FFF2-40B4-BE49-F238E27FC236}">
              <a16:creationId xmlns:a16="http://schemas.microsoft.com/office/drawing/2014/main" id="{00000000-0008-0000-0A00-000038010000}"/>
            </a:ext>
          </a:extLst>
        </xdr:cNvPr>
        <xdr:cNvSpPr/>
      </xdr:nvSpPr>
      <xdr:spPr>
        <a:xfrm>
          <a:off x="11301413" y="72875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77</xdr:row>
      <xdr:rowOff>95250</xdr:rowOff>
    </xdr:from>
    <xdr:to>
      <xdr:col>5</xdr:col>
      <xdr:colOff>2143125</xdr:colOff>
      <xdr:row>77</xdr:row>
      <xdr:rowOff>247650</xdr:rowOff>
    </xdr:to>
    <xdr:sp macro="" textlink="">
      <xdr:nvSpPr>
        <xdr:cNvPr id="313" name="Rectangle 312">
          <a:extLst>
            <a:ext uri="{FF2B5EF4-FFF2-40B4-BE49-F238E27FC236}">
              <a16:creationId xmlns:a16="http://schemas.microsoft.com/office/drawing/2014/main" id="{00000000-0008-0000-0A00-000039010000}"/>
            </a:ext>
          </a:extLst>
        </xdr:cNvPr>
        <xdr:cNvSpPr/>
      </xdr:nvSpPr>
      <xdr:spPr>
        <a:xfrm>
          <a:off x="12539663" y="716756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77</xdr:row>
      <xdr:rowOff>1295400</xdr:rowOff>
    </xdr:from>
    <xdr:to>
      <xdr:col>5</xdr:col>
      <xdr:colOff>2152650</xdr:colOff>
      <xdr:row>77</xdr:row>
      <xdr:rowOff>1447800</xdr:rowOff>
    </xdr:to>
    <xdr:sp macro="" textlink="">
      <xdr:nvSpPr>
        <xdr:cNvPr id="314" name="Rectangle 313">
          <a:extLst>
            <a:ext uri="{FF2B5EF4-FFF2-40B4-BE49-F238E27FC236}">
              <a16:creationId xmlns:a16="http://schemas.microsoft.com/office/drawing/2014/main" id="{00000000-0008-0000-0A00-00003A010000}"/>
            </a:ext>
          </a:extLst>
        </xdr:cNvPr>
        <xdr:cNvSpPr/>
      </xdr:nvSpPr>
      <xdr:spPr>
        <a:xfrm>
          <a:off x="12549188" y="72875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785812</xdr:colOff>
      <xdr:row>77</xdr:row>
      <xdr:rowOff>750095</xdr:rowOff>
    </xdr:from>
    <xdr:to>
      <xdr:col>5</xdr:col>
      <xdr:colOff>2131218</xdr:colOff>
      <xdr:row>77</xdr:row>
      <xdr:rowOff>795814</xdr:rowOff>
    </xdr:to>
    <xdr:sp macro="" textlink="">
      <xdr:nvSpPr>
        <xdr:cNvPr id="315" name="Rectangle 314">
          <a:extLst>
            <a:ext uri="{FF2B5EF4-FFF2-40B4-BE49-F238E27FC236}">
              <a16:creationId xmlns:a16="http://schemas.microsoft.com/office/drawing/2014/main" id="{00000000-0008-0000-0A00-00003B010000}"/>
            </a:ext>
          </a:extLst>
        </xdr:cNvPr>
        <xdr:cNvSpPr/>
      </xdr:nvSpPr>
      <xdr:spPr>
        <a:xfrm>
          <a:off x="11334750" y="7385447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73</xdr:row>
      <xdr:rowOff>276225</xdr:rowOff>
    </xdr:from>
    <xdr:to>
      <xdr:col>5</xdr:col>
      <xdr:colOff>771525</xdr:colOff>
      <xdr:row>73</xdr:row>
      <xdr:rowOff>1314450</xdr:rowOff>
    </xdr:to>
    <xdr:cxnSp macro="">
      <xdr:nvCxnSpPr>
        <xdr:cNvPr id="318" name="Connecteur droit 317">
          <a:extLst>
            <a:ext uri="{FF2B5EF4-FFF2-40B4-BE49-F238E27FC236}">
              <a16:creationId xmlns:a16="http://schemas.microsoft.com/office/drawing/2014/main" id="{00000000-0008-0000-0A00-00003E010000}"/>
            </a:ext>
          </a:extLst>
        </xdr:cNvPr>
        <xdr:cNvCxnSpPr/>
      </xdr:nvCxnSpPr>
      <xdr:spPr>
        <a:xfrm>
          <a:off x="11439525" y="68694300"/>
          <a:ext cx="9525" cy="10382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2114550</xdr:colOff>
      <xdr:row>73</xdr:row>
      <xdr:rowOff>266700</xdr:rowOff>
    </xdr:from>
    <xdr:to>
      <xdr:col>5</xdr:col>
      <xdr:colOff>2124075</xdr:colOff>
      <xdr:row>73</xdr:row>
      <xdr:rowOff>1304925</xdr:rowOff>
    </xdr:to>
    <xdr:cxnSp macro="">
      <xdr:nvCxnSpPr>
        <xdr:cNvPr id="319" name="Connecteur droit 318">
          <a:extLst>
            <a:ext uri="{FF2B5EF4-FFF2-40B4-BE49-F238E27FC236}">
              <a16:creationId xmlns:a16="http://schemas.microsoft.com/office/drawing/2014/main" id="{00000000-0008-0000-0A00-00003F010000}"/>
            </a:ext>
          </a:extLst>
        </xdr:cNvPr>
        <xdr:cNvCxnSpPr/>
      </xdr:nvCxnSpPr>
      <xdr:spPr>
        <a:xfrm>
          <a:off x="12663488" y="65751075"/>
          <a:ext cx="9525" cy="10382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73</xdr:row>
      <xdr:rowOff>123825</xdr:rowOff>
    </xdr:from>
    <xdr:to>
      <xdr:col>5</xdr:col>
      <xdr:colOff>1962150</xdr:colOff>
      <xdr:row>73</xdr:row>
      <xdr:rowOff>123825</xdr:rowOff>
    </xdr:to>
    <xdr:cxnSp macro="">
      <xdr:nvCxnSpPr>
        <xdr:cNvPr id="320" name="Connecteur droit 319">
          <a:extLst>
            <a:ext uri="{FF2B5EF4-FFF2-40B4-BE49-F238E27FC236}">
              <a16:creationId xmlns:a16="http://schemas.microsoft.com/office/drawing/2014/main" id="{00000000-0008-0000-0A00-000040010000}"/>
            </a:ext>
          </a:extLst>
        </xdr:cNvPr>
        <xdr:cNvCxnSpPr/>
      </xdr:nvCxnSpPr>
      <xdr:spPr>
        <a:xfrm>
          <a:off x="11434763" y="65608200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914400</xdr:colOff>
      <xdr:row>73</xdr:row>
      <xdr:rowOff>1428750</xdr:rowOff>
    </xdr:from>
    <xdr:to>
      <xdr:col>5</xdr:col>
      <xdr:colOff>1990725</xdr:colOff>
      <xdr:row>73</xdr:row>
      <xdr:rowOff>1428750</xdr:rowOff>
    </xdr:to>
    <xdr:cxnSp macro="">
      <xdr:nvCxnSpPr>
        <xdr:cNvPr id="321" name="Connecteur droit 320">
          <a:extLst>
            <a:ext uri="{FF2B5EF4-FFF2-40B4-BE49-F238E27FC236}">
              <a16:creationId xmlns:a16="http://schemas.microsoft.com/office/drawing/2014/main" id="{00000000-0008-0000-0A00-000041010000}"/>
            </a:ext>
          </a:extLst>
        </xdr:cNvPr>
        <xdr:cNvCxnSpPr/>
      </xdr:nvCxnSpPr>
      <xdr:spPr>
        <a:xfrm>
          <a:off x="11463338" y="66913125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73</xdr:row>
      <xdr:rowOff>104775</xdr:rowOff>
    </xdr:from>
    <xdr:to>
      <xdr:col>5</xdr:col>
      <xdr:colOff>885825</xdr:colOff>
      <xdr:row>73</xdr:row>
      <xdr:rowOff>257175</xdr:rowOff>
    </xdr:to>
    <xdr:sp macro="" textlink="">
      <xdr:nvSpPr>
        <xdr:cNvPr id="322" name="Rectangle 321">
          <a:extLst>
            <a:ext uri="{FF2B5EF4-FFF2-40B4-BE49-F238E27FC236}">
              <a16:creationId xmlns:a16="http://schemas.microsoft.com/office/drawing/2014/main" id="{00000000-0008-0000-0A00-000042010000}"/>
            </a:ext>
          </a:extLst>
        </xdr:cNvPr>
        <xdr:cNvSpPr/>
      </xdr:nvSpPr>
      <xdr:spPr>
        <a:xfrm>
          <a:off x="11282363" y="655891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73</xdr:row>
      <xdr:rowOff>1295400</xdr:rowOff>
    </xdr:from>
    <xdr:to>
      <xdr:col>5</xdr:col>
      <xdr:colOff>904875</xdr:colOff>
      <xdr:row>73</xdr:row>
      <xdr:rowOff>1447800</xdr:rowOff>
    </xdr:to>
    <xdr:sp macro="" textlink="">
      <xdr:nvSpPr>
        <xdr:cNvPr id="323" name="Rectangle 322">
          <a:extLst>
            <a:ext uri="{FF2B5EF4-FFF2-40B4-BE49-F238E27FC236}">
              <a16:creationId xmlns:a16="http://schemas.microsoft.com/office/drawing/2014/main" id="{00000000-0008-0000-0A00-000043010000}"/>
            </a:ext>
          </a:extLst>
        </xdr:cNvPr>
        <xdr:cNvSpPr/>
      </xdr:nvSpPr>
      <xdr:spPr>
        <a:xfrm>
          <a:off x="11301413" y="66779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73</xdr:row>
      <xdr:rowOff>95250</xdr:rowOff>
    </xdr:from>
    <xdr:to>
      <xdr:col>5</xdr:col>
      <xdr:colOff>2143125</xdr:colOff>
      <xdr:row>73</xdr:row>
      <xdr:rowOff>247650</xdr:rowOff>
    </xdr:to>
    <xdr:sp macro="" textlink="">
      <xdr:nvSpPr>
        <xdr:cNvPr id="324" name="Rectangle 323">
          <a:extLst>
            <a:ext uri="{FF2B5EF4-FFF2-40B4-BE49-F238E27FC236}">
              <a16:creationId xmlns:a16="http://schemas.microsoft.com/office/drawing/2014/main" id="{00000000-0008-0000-0A00-000044010000}"/>
            </a:ext>
          </a:extLst>
        </xdr:cNvPr>
        <xdr:cNvSpPr/>
      </xdr:nvSpPr>
      <xdr:spPr>
        <a:xfrm>
          <a:off x="12539663" y="655796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73</xdr:row>
      <xdr:rowOff>1295400</xdr:rowOff>
    </xdr:from>
    <xdr:to>
      <xdr:col>5</xdr:col>
      <xdr:colOff>2152650</xdr:colOff>
      <xdr:row>73</xdr:row>
      <xdr:rowOff>1447800</xdr:rowOff>
    </xdr:to>
    <xdr:sp macro="" textlink="">
      <xdr:nvSpPr>
        <xdr:cNvPr id="325" name="Rectangle 324">
          <a:extLst>
            <a:ext uri="{FF2B5EF4-FFF2-40B4-BE49-F238E27FC236}">
              <a16:creationId xmlns:a16="http://schemas.microsoft.com/office/drawing/2014/main" id="{00000000-0008-0000-0A00-000045010000}"/>
            </a:ext>
          </a:extLst>
        </xdr:cNvPr>
        <xdr:cNvSpPr/>
      </xdr:nvSpPr>
      <xdr:spPr>
        <a:xfrm>
          <a:off x="12549188" y="66779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773906</xdr:colOff>
      <xdr:row>73</xdr:row>
      <xdr:rowOff>726281</xdr:rowOff>
    </xdr:from>
    <xdr:to>
      <xdr:col>5</xdr:col>
      <xdr:colOff>2119312</xdr:colOff>
      <xdr:row>73</xdr:row>
      <xdr:rowOff>772000</xdr:rowOff>
    </xdr:to>
    <xdr:sp macro="" textlink="">
      <xdr:nvSpPr>
        <xdr:cNvPr id="326" name="Rectangle 325">
          <a:extLst>
            <a:ext uri="{FF2B5EF4-FFF2-40B4-BE49-F238E27FC236}">
              <a16:creationId xmlns:a16="http://schemas.microsoft.com/office/drawing/2014/main" id="{00000000-0008-0000-0A00-000046010000}"/>
            </a:ext>
          </a:extLst>
        </xdr:cNvPr>
        <xdr:cNvSpPr/>
      </xdr:nvSpPr>
      <xdr:spPr>
        <a:xfrm>
          <a:off x="11322844" y="67734656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777875</xdr:colOff>
      <xdr:row>70</xdr:row>
      <xdr:rowOff>762000</xdr:rowOff>
    </xdr:from>
    <xdr:to>
      <xdr:col>5</xdr:col>
      <xdr:colOff>2123281</xdr:colOff>
      <xdr:row>70</xdr:row>
      <xdr:rowOff>807719</xdr:rowOff>
    </xdr:to>
    <xdr:sp macro="" textlink="">
      <xdr:nvSpPr>
        <xdr:cNvPr id="329" name="Rectangle 328">
          <a:extLst>
            <a:ext uri="{FF2B5EF4-FFF2-40B4-BE49-F238E27FC236}">
              <a16:creationId xmlns:a16="http://schemas.microsoft.com/office/drawing/2014/main" id="{00000000-0008-0000-0A00-000049010000}"/>
            </a:ext>
          </a:extLst>
        </xdr:cNvPr>
        <xdr:cNvSpPr/>
      </xdr:nvSpPr>
      <xdr:spPr>
        <a:xfrm>
          <a:off x="11318875" y="6337300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74</xdr:row>
      <xdr:rowOff>746125</xdr:rowOff>
    </xdr:from>
    <xdr:to>
      <xdr:col>5</xdr:col>
      <xdr:colOff>2107406</xdr:colOff>
      <xdr:row>74</xdr:row>
      <xdr:rowOff>791844</xdr:rowOff>
    </xdr:to>
    <xdr:sp macro="" textlink="">
      <xdr:nvSpPr>
        <xdr:cNvPr id="330" name="Rectangle 329">
          <a:extLst>
            <a:ext uri="{FF2B5EF4-FFF2-40B4-BE49-F238E27FC236}">
              <a16:creationId xmlns:a16="http://schemas.microsoft.com/office/drawing/2014/main" id="{00000000-0008-0000-0A00-00004A010000}"/>
            </a:ext>
          </a:extLst>
        </xdr:cNvPr>
        <xdr:cNvSpPr/>
      </xdr:nvSpPr>
      <xdr:spPr>
        <a:xfrm>
          <a:off x="11303000" y="6945312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98</xdr:row>
      <xdr:rowOff>262303</xdr:rowOff>
    </xdr:from>
    <xdr:to>
      <xdr:col>5</xdr:col>
      <xdr:colOff>493102</xdr:colOff>
      <xdr:row>98</xdr:row>
      <xdr:rowOff>414703</xdr:rowOff>
    </xdr:to>
    <xdr:sp macro="" textlink="">
      <xdr:nvSpPr>
        <xdr:cNvPr id="371" name="Rectangle 370">
          <a:extLst>
            <a:ext uri="{FF2B5EF4-FFF2-40B4-BE49-F238E27FC236}">
              <a16:creationId xmlns:a16="http://schemas.microsoft.com/office/drawing/2014/main" id="{00000000-0008-0000-0A00-000073010000}"/>
            </a:ext>
          </a:extLst>
        </xdr:cNvPr>
        <xdr:cNvSpPr/>
      </xdr:nvSpPr>
      <xdr:spPr>
        <a:xfrm>
          <a:off x="10884877" y="915499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98</xdr:row>
      <xdr:rowOff>1672004</xdr:rowOff>
    </xdr:from>
    <xdr:to>
      <xdr:col>5</xdr:col>
      <xdr:colOff>487241</xdr:colOff>
      <xdr:row>98</xdr:row>
      <xdr:rowOff>1824404</xdr:rowOff>
    </xdr:to>
    <xdr:sp macro="" textlink="">
      <xdr:nvSpPr>
        <xdr:cNvPr id="372" name="Rectangle 371">
          <a:extLst>
            <a:ext uri="{FF2B5EF4-FFF2-40B4-BE49-F238E27FC236}">
              <a16:creationId xmlns:a16="http://schemas.microsoft.com/office/drawing/2014/main" id="{00000000-0008-0000-0A00-000074010000}"/>
            </a:ext>
          </a:extLst>
        </xdr:cNvPr>
        <xdr:cNvSpPr/>
      </xdr:nvSpPr>
      <xdr:spPr>
        <a:xfrm>
          <a:off x="10879016" y="944836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98</xdr:row>
      <xdr:rowOff>244719</xdr:rowOff>
    </xdr:from>
    <xdr:to>
      <xdr:col>5</xdr:col>
      <xdr:colOff>2380518</xdr:colOff>
      <xdr:row>98</xdr:row>
      <xdr:rowOff>397119</xdr:rowOff>
    </xdr:to>
    <xdr:sp macro="" textlink="">
      <xdr:nvSpPr>
        <xdr:cNvPr id="373" name="Rectangle 372">
          <a:extLst>
            <a:ext uri="{FF2B5EF4-FFF2-40B4-BE49-F238E27FC236}">
              <a16:creationId xmlns:a16="http://schemas.microsoft.com/office/drawing/2014/main" id="{00000000-0008-0000-0A00-000075010000}"/>
            </a:ext>
          </a:extLst>
        </xdr:cNvPr>
        <xdr:cNvSpPr/>
      </xdr:nvSpPr>
      <xdr:spPr>
        <a:xfrm>
          <a:off x="12772293" y="915323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98</xdr:row>
      <xdr:rowOff>1701311</xdr:rowOff>
    </xdr:from>
    <xdr:to>
      <xdr:col>5</xdr:col>
      <xdr:colOff>2372458</xdr:colOff>
      <xdr:row>98</xdr:row>
      <xdr:rowOff>1853711</xdr:rowOff>
    </xdr:to>
    <xdr:sp macro="" textlink="">
      <xdr:nvSpPr>
        <xdr:cNvPr id="374" name="Rectangle 373">
          <a:extLst>
            <a:ext uri="{FF2B5EF4-FFF2-40B4-BE49-F238E27FC236}">
              <a16:creationId xmlns:a16="http://schemas.microsoft.com/office/drawing/2014/main" id="{00000000-0008-0000-0A00-000076010000}"/>
            </a:ext>
          </a:extLst>
        </xdr:cNvPr>
        <xdr:cNvSpPr/>
      </xdr:nvSpPr>
      <xdr:spPr>
        <a:xfrm>
          <a:off x="12764233" y="945129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98</xdr:row>
      <xdr:rowOff>786912</xdr:rowOff>
    </xdr:from>
    <xdr:to>
      <xdr:col>5</xdr:col>
      <xdr:colOff>2305783</xdr:colOff>
      <xdr:row>98</xdr:row>
      <xdr:rowOff>845527</xdr:rowOff>
    </xdr:to>
    <xdr:sp macro="" textlink="">
      <xdr:nvSpPr>
        <xdr:cNvPr id="375" name="Rectangle 374">
          <a:extLst>
            <a:ext uri="{FF2B5EF4-FFF2-40B4-BE49-F238E27FC236}">
              <a16:creationId xmlns:a16="http://schemas.microsoft.com/office/drawing/2014/main" id="{00000000-0008-0000-0A00-000077010000}"/>
            </a:ext>
          </a:extLst>
        </xdr:cNvPr>
        <xdr:cNvSpPr/>
      </xdr:nvSpPr>
      <xdr:spPr>
        <a:xfrm>
          <a:off x="10944958" y="935985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98</xdr:row>
      <xdr:rowOff>262303</xdr:rowOff>
    </xdr:from>
    <xdr:to>
      <xdr:col>5</xdr:col>
      <xdr:colOff>493102</xdr:colOff>
      <xdr:row>98</xdr:row>
      <xdr:rowOff>414703</xdr:rowOff>
    </xdr:to>
    <xdr:sp macro="" textlink="">
      <xdr:nvSpPr>
        <xdr:cNvPr id="380" name="Rectangle 379">
          <a:extLst>
            <a:ext uri="{FF2B5EF4-FFF2-40B4-BE49-F238E27FC236}">
              <a16:creationId xmlns:a16="http://schemas.microsoft.com/office/drawing/2014/main" id="{00000000-0008-0000-0A00-00007C010000}"/>
            </a:ext>
          </a:extLst>
        </xdr:cNvPr>
        <xdr:cNvSpPr/>
      </xdr:nvSpPr>
      <xdr:spPr>
        <a:xfrm>
          <a:off x="10884877" y="915499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98</xdr:row>
      <xdr:rowOff>1672004</xdr:rowOff>
    </xdr:from>
    <xdr:to>
      <xdr:col>5</xdr:col>
      <xdr:colOff>487241</xdr:colOff>
      <xdr:row>98</xdr:row>
      <xdr:rowOff>1824404</xdr:rowOff>
    </xdr:to>
    <xdr:sp macro="" textlink="">
      <xdr:nvSpPr>
        <xdr:cNvPr id="381" name="Rectangle 380">
          <a:extLst>
            <a:ext uri="{FF2B5EF4-FFF2-40B4-BE49-F238E27FC236}">
              <a16:creationId xmlns:a16="http://schemas.microsoft.com/office/drawing/2014/main" id="{00000000-0008-0000-0A00-00007D010000}"/>
            </a:ext>
          </a:extLst>
        </xdr:cNvPr>
        <xdr:cNvSpPr/>
      </xdr:nvSpPr>
      <xdr:spPr>
        <a:xfrm>
          <a:off x="10879016" y="944836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98</xdr:row>
      <xdr:rowOff>244719</xdr:rowOff>
    </xdr:from>
    <xdr:to>
      <xdr:col>5</xdr:col>
      <xdr:colOff>2380518</xdr:colOff>
      <xdr:row>98</xdr:row>
      <xdr:rowOff>397119</xdr:rowOff>
    </xdr:to>
    <xdr:sp macro="" textlink="">
      <xdr:nvSpPr>
        <xdr:cNvPr id="382" name="Rectangle 381">
          <a:extLst>
            <a:ext uri="{FF2B5EF4-FFF2-40B4-BE49-F238E27FC236}">
              <a16:creationId xmlns:a16="http://schemas.microsoft.com/office/drawing/2014/main" id="{00000000-0008-0000-0A00-00007E010000}"/>
            </a:ext>
          </a:extLst>
        </xdr:cNvPr>
        <xdr:cNvSpPr/>
      </xdr:nvSpPr>
      <xdr:spPr>
        <a:xfrm>
          <a:off x="12772293" y="915323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98</xdr:row>
      <xdr:rowOff>1701311</xdr:rowOff>
    </xdr:from>
    <xdr:to>
      <xdr:col>5</xdr:col>
      <xdr:colOff>2372458</xdr:colOff>
      <xdr:row>98</xdr:row>
      <xdr:rowOff>1853711</xdr:rowOff>
    </xdr:to>
    <xdr:sp macro="" textlink="">
      <xdr:nvSpPr>
        <xdr:cNvPr id="383" name="Rectangle 382">
          <a:extLst>
            <a:ext uri="{FF2B5EF4-FFF2-40B4-BE49-F238E27FC236}">
              <a16:creationId xmlns:a16="http://schemas.microsoft.com/office/drawing/2014/main" id="{00000000-0008-0000-0A00-00007F010000}"/>
            </a:ext>
          </a:extLst>
        </xdr:cNvPr>
        <xdr:cNvSpPr/>
      </xdr:nvSpPr>
      <xdr:spPr>
        <a:xfrm>
          <a:off x="12764233" y="945129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98</xdr:row>
      <xdr:rowOff>1271099</xdr:rowOff>
    </xdr:from>
    <xdr:to>
      <xdr:col>5</xdr:col>
      <xdr:colOff>2301875</xdr:colOff>
      <xdr:row>98</xdr:row>
      <xdr:rowOff>1329714</xdr:rowOff>
    </xdr:to>
    <xdr:sp macro="" textlink="">
      <xdr:nvSpPr>
        <xdr:cNvPr id="395" name="Rectangle 394">
          <a:extLst>
            <a:ext uri="{FF2B5EF4-FFF2-40B4-BE49-F238E27FC236}">
              <a16:creationId xmlns:a16="http://schemas.microsoft.com/office/drawing/2014/main" id="{00000000-0008-0000-0A00-00008B010000}"/>
            </a:ext>
          </a:extLst>
        </xdr:cNvPr>
        <xdr:cNvSpPr/>
      </xdr:nvSpPr>
      <xdr:spPr>
        <a:xfrm>
          <a:off x="10937875" y="9401284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99</xdr:row>
      <xdr:rowOff>262303</xdr:rowOff>
    </xdr:from>
    <xdr:to>
      <xdr:col>5</xdr:col>
      <xdr:colOff>493102</xdr:colOff>
      <xdr:row>99</xdr:row>
      <xdr:rowOff>414703</xdr:rowOff>
    </xdr:to>
    <xdr:sp macro="" textlink="">
      <xdr:nvSpPr>
        <xdr:cNvPr id="402" name="Rectangle 401">
          <a:extLst>
            <a:ext uri="{FF2B5EF4-FFF2-40B4-BE49-F238E27FC236}">
              <a16:creationId xmlns:a16="http://schemas.microsoft.com/office/drawing/2014/main" id="{00000000-0008-0000-0A00-000092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99</xdr:row>
      <xdr:rowOff>1672004</xdr:rowOff>
    </xdr:from>
    <xdr:to>
      <xdr:col>5</xdr:col>
      <xdr:colOff>487241</xdr:colOff>
      <xdr:row>99</xdr:row>
      <xdr:rowOff>1824404</xdr:rowOff>
    </xdr:to>
    <xdr:sp macro="" textlink="">
      <xdr:nvSpPr>
        <xdr:cNvPr id="403" name="Rectangle 402">
          <a:extLst>
            <a:ext uri="{FF2B5EF4-FFF2-40B4-BE49-F238E27FC236}">
              <a16:creationId xmlns:a16="http://schemas.microsoft.com/office/drawing/2014/main" id="{00000000-0008-0000-0A00-000093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99</xdr:row>
      <xdr:rowOff>244719</xdr:rowOff>
    </xdr:from>
    <xdr:to>
      <xdr:col>5</xdr:col>
      <xdr:colOff>2380518</xdr:colOff>
      <xdr:row>99</xdr:row>
      <xdr:rowOff>397119</xdr:rowOff>
    </xdr:to>
    <xdr:sp macro="" textlink="">
      <xdr:nvSpPr>
        <xdr:cNvPr id="404" name="Rectangle 403">
          <a:extLst>
            <a:ext uri="{FF2B5EF4-FFF2-40B4-BE49-F238E27FC236}">
              <a16:creationId xmlns:a16="http://schemas.microsoft.com/office/drawing/2014/main" id="{00000000-0008-0000-0A00-000094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99</xdr:row>
      <xdr:rowOff>1701311</xdr:rowOff>
    </xdr:from>
    <xdr:to>
      <xdr:col>5</xdr:col>
      <xdr:colOff>2372458</xdr:colOff>
      <xdr:row>99</xdr:row>
      <xdr:rowOff>1853711</xdr:rowOff>
    </xdr:to>
    <xdr:sp macro="" textlink="">
      <xdr:nvSpPr>
        <xdr:cNvPr id="405" name="Rectangle 404">
          <a:extLst>
            <a:ext uri="{FF2B5EF4-FFF2-40B4-BE49-F238E27FC236}">
              <a16:creationId xmlns:a16="http://schemas.microsoft.com/office/drawing/2014/main" id="{00000000-0008-0000-0A00-000095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99</xdr:row>
      <xdr:rowOff>786912</xdr:rowOff>
    </xdr:from>
    <xdr:to>
      <xdr:col>5</xdr:col>
      <xdr:colOff>2305783</xdr:colOff>
      <xdr:row>99</xdr:row>
      <xdr:rowOff>845527</xdr:rowOff>
    </xdr:to>
    <xdr:sp macro="" textlink="">
      <xdr:nvSpPr>
        <xdr:cNvPr id="406" name="Rectangle 405">
          <a:extLst>
            <a:ext uri="{FF2B5EF4-FFF2-40B4-BE49-F238E27FC236}">
              <a16:creationId xmlns:a16="http://schemas.microsoft.com/office/drawing/2014/main" id="{00000000-0008-0000-0A00-000096010000}"/>
            </a:ext>
          </a:extLst>
        </xdr:cNvPr>
        <xdr:cNvSpPr/>
      </xdr:nvSpPr>
      <xdr:spPr>
        <a:xfrm>
          <a:off x="10941783" y="938779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99</xdr:row>
      <xdr:rowOff>262303</xdr:rowOff>
    </xdr:from>
    <xdr:to>
      <xdr:col>5</xdr:col>
      <xdr:colOff>493102</xdr:colOff>
      <xdr:row>99</xdr:row>
      <xdr:rowOff>414703</xdr:rowOff>
    </xdr:to>
    <xdr:sp macro="" textlink="">
      <xdr:nvSpPr>
        <xdr:cNvPr id="410" name="Rectangle 409">
          <a:extLst>
            <a:ext uri="{FF2B5EF4-FFF2-40B4-BE49-F238E27FC236}">
              <a16:creationId xmlns:a16="http://schemas.microsoft.com/office/drawing/2014/main" id="{00000000-0008-0000-0A00-00009A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99</xdr:row>
      <xdr:rowOff>1672004</xdr:rowOff>
    </xdr:from>
    <xdr:to>
      <xdr:col>5</xdr:col>
      <xdr:colOff>487241</xdr:colOff>
      <xdr:row>99</xdr:row>
      <xdr:rowOff>1824404</xdr:rowOff>
    </xdr:to>
    <xdr:sp macro="" textlink="">
      <xdr:nvSpPr>
        <xdr:cNvPr id="411" name="Rectangle 410">
          <a:extLst>
            <a:ext uri="{FF2B5EF4-FFF2-40B4-BE49-F238E27FC236}">
              <a16:creationId xmlns:a16="http://schemas.microsoft.com/office/drawing/2014/main" id="{00000000-0008-0000-0A00-00009B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99</xdr:row>
      <xdr:rowOff>244719</xdr:rowOff>
    </xdr:from>
    <xdr:to>
      <xdr:col>5</xdr:col>
      <xdr:colOff>2380518</xdr:colOff>
      <xdr:row>99</xdr:row>
      <xdr:rowOff>397119</xdr:rowOff>
    </xdr:to>
    <xdr:sp macro="" textlink="">
      <xdr:nvSpPr>
        <xdr:cNvPr id="412" name="Rectangle 411">
          <a:extLst>
            <a:ext uri="{FF2B5EF4-FFF2-40B4-BE49-F238E27FC236}">
              <a16:creationId xmlns:a16="http://schemas.microsoft.com/office/drawing/2014/main" id="{00000000-0008-0000-0A00-00009C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99</xdr:row>
      <xdr:rowOff>1701311</xdr:rowOff>
    </xdr:from>
    <xdr:to>
      <xdr:col>5</xdr:col>
      <xdr:colOff>2372458</xdr:colOff>
      <xdr:row>99</xdr:row>
      <xdr:rowOff>1853711</xdr:rowOff>
    </xdr:to>
    <xdr:sp macro="" textlink="">
      <xdr:nvSpPr>
        <xdr:cNvPr id="413" name="Rectangle 412">
          <a:extLst>
            <a:ext uri="{FF2B5EF4-FFF2-40B4-BE49-F238E27FC236}">
              <a16:creationId xmlns:a16="http://schemas.microsoft.com/office/drawing/2014/main" id="{00000000-0008-0000-0A00-00009D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715473</xdr:colOff>
      <xdr:row>99</xdr:row>
      <xdr:rowOff>703385</xdr:rowOff>
    </xdr:from>
    <xdr:to>
      <xdr:col>5</xdr:col>
      <xdr:colOff>949935</xdr:colOff>
      <xdr:row>99</xdr:row>
      <xdr:rowOff>930519</xdr:rowOff>
    </xdr:to>
    <xdr:sp macro="" textlink="">
      <xdr:nvSpPr>
        <xdr:cNvPr id="414" name="Organigramme : Jonction de sommaire 413">
          <a:extLst>
            <a:ext uri="{FF2B5EF4-FFF2-40B4-BE49-F238E27FC236}">
              <a16:creationId xmlns:a16="http://schemas.microsoft.com/office/drawing/2014/main" id="{00000000-0008-0000-0A00-00009E010000}"/>
            </a:ext>
          </a:extLst>
        </xdr:cNvPr>
        <xdr:cNvSpPr/>
      </xdr:nvSpPr>
      <xdr:spPr>
        <a:xfrm>
          <a:off x="11259648" y="955438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1749668</xdr:colOff>
      <xdr:row>99</xdr:row>
      <xdr:rowOff>710711</xdr:rowOff>
    </xdr:from>
    <xdr:to>
      <xdr:col>5</xdr:col>
      <xdr:colOff>1984130</xdr:colOff>
      <xdr:row>99</xdr:row>
      <xdr:rowOff>937845</xdr:rowOff>
    </xdr:to>
    <xdr:sp macro="" textlink="">
      <xdr:nvSpPr>
        <xdr:cNvPr id="415" name="Organigramme : Jonction de sommaire 414">
          <a:extLst>
            <a:ext uri="{FF2B5EF4-FFF2-40B4-BE49-F238E27FC236}">
              <a16:creationId xmlns:a16="http://schemas.microsoft.com/office/drawing/2014/main" id="{00000000-0008-0000-0A00-00009F010000}"/>
            </a:ext>
          </a:extLst>
        </xdr:cNvPr>
        <xdr:cNvSpPr/>
      </xdr:nvSpPr>
      <xdr:spPr>
        <a:xfrm>
          <a:off x="12293843" y="9555113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99</xdr:row>
      <xdr:rowOff>1271099</xdr:rowOff>
    </xdr:from>
    <xdr:to>
      <xdr:col>5</xdr:col>
      <xdr:colOff>2301875</xdr:colOff>
      <xdr:row>99</xdr:row>
      <xdr:rowOff>1329714</xdr:rowOff>
    </xdr:to>
    <xdr:sp macro="" textlink="">
      <xdr:nvSpPr>
        <xdr:cNvPr id="419" name="Rectangle 418">
          <a:extLst>
            <a:ext uri="{FF2B5EF4-FFF2-40B4-BE49-F238E27FC236}">
              <a16:creationId xmlns:a16="http://schemas.microsoft.com/office/drawing/2014/main" id="{00000000-0008-0000-0A00-0000A3010000}"/>
            </a:ext>
          </a:extLst>
        </xdr:cNvPr>
        <xdr:cNvSpPr/>
      </xdr:nvSpPr>
      <xdr:spPr>
        <a:xfrm>
          <a:off x="10937875" y="9436209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721090</xdr:colOff>
      <xdr:row>99</xdr:row>
      <xdr:rowOff>1187572</xdr:rowOff>
    </xdr:from>
    <xdr:to>
      <xdr:col>5</xdr:col>
      <xdr:colOff>955552</xdr:colOff>
      <xdr:row>99</xdr:row>
      <xdr:rowOff>1414706</xdr:rowOff>
    </xdr:to>
    <xdr:sp macro="" textlink="">
      <xdr:nvSpPr>
        <xdr:cNvPr id="420" name="Organigramme : Jonction de sommaire 419">
          <a:extLst>
            <a:ext uri="{FF2B5EF4-FFF2-40B4-BE49-F238E27FC236}">
              <a16:creationId xmlns:a16="http://schemas.microsoft.com/office/drawing/2014/main" id="{00000000-0008-0000-0A00-0000A4010000}"/>
            </a:ext>
          </a:extLst>
        </xdr:cNvPr>
        <xdr:cNvSpPr/>
      </xdr:nvSpPr>
      <xdr:spPr>
        <a:xfrm>
          <a:off x="11265265" y="9602799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1764810</xdr:colOff>
      <xdr:row>99</xdr:row>
      <xdr:rowOff>1185373</xdr:rowOff>
    </xdr:from>
    <xdr:to>
      <xdr:col>5</xdr:col>
      <xdr:colOff>1999272</xdr:colOff>
      <xdr:row>99</xdr:row>
      <xdr:rowOff>1412507</xdr:rowOff>
    </xdr:to>
    <xdr:sp macro="" textlink="">
      <xdr:nvSpPr>
        <xdr:cNvPr id="421" name="Organigramme : Jonction de sommaire 420">
          <a:extLst>
            <a:ext uri="{FF2B5EF4-FFF2-40B4-BE49-F238E27FC236}">
              <a16:creationId xmlns:a16="http://schemas.microsoft.com/office/drawing/2014/main" id="{00000000-0008-0000-0A00-0000A5010000}"/>
            </a:ext>
          </a:extLst>
        </xdr:cNvPr>
        <xdr:cNvSpPr/>
      </xdr:nvSpPr>
      <xdr:spPr>
        <a:xfrm>
          <a:off x="12308985" y="960257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100</xdr:row>
      <xdr:rowOff>262303</xdr:rowOff>
    </xdr:from>
    <xdr:to>
      <xdr:col>5</xdr:col>
      <xdr:colOff>493102</xdr:colOff>
      <xdr:row>100</xdr:row>
      <xdr:rowOff>414703</xdr:rowOff>
    </xdr:to>
    <xdr:sp macro="" textlink="">
      <xdr:nvSpPr>
        <xdr:cNvPr id="426" name="Rectangle 425">
          <a:extLst>
            <a:ext uri="{FF2B5EF4-FFF2-40B4-BE49-F238E27FC236}">
              <a16:creationId xmlns:a16="http://schemas.microsoft.com/office/drawing/2014/main" id="{00000000-0008-0000-0A00-0000AA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100</xdr:row>
      <xdr:rowOff>1672004</xdr:rowOff>
    </xdr:from>
    <xdr:to>
      <xdr:col>5</xdr:col>
      <xdr:colOff>487241</xdr:colOff>
      <xdr:row>100</xdr:row>
      <xdr:rowOff>1824404</xdr:rowOff>
    </xdr:to>
    <xdr:sp macro="" textlink="">
      <xdr:nvSpPr>
        <xdr:cNvPr id="427" name="Rectangle 426">
          <a:extLst>
            <a:ext uri="{FF2B5EF4-FFF2-40B4-BE49-F238E27FC236}">
              <a16:creationId xmlns:a16="http://schemas.microsoft.com/office/drawing/2014/main" id="{00000000-0008-0000-0A00-0000AB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100</xdr:row>
      <xdr:rowOff>244719</xdr:rowOff>
    </xdr:from>
    <xdr:to>
      <xdr:col>5</xdr:col>
      <xdr:colOff>2380518</xdr:colOff>
      <xdr:row>100</xdr:row>
      <xdr:rowOff>397119</xdr:rowOff>
    </xdr:to>
    <xdr:sp macro="" textlink="">
      <xdr:nvSpPr>
        <xdr:cNvPr id="428" name="Rectangle 427">
          <a:extLst>
            <a:ext uri="{FF2B5EF4-FFF2-40B4-BE49-F238E27FC236}">
              <a16:creationId xmlns:a16="http://schemas.microsoft.com/office/drawing/2014/main" id="{00000000-0008-0000-0A00-0000AC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100</xdr:row>
      <xdr:rowOff>1701311</xdr:rowOff>
    </xdr:from>
    <xdr:to>
      <xdr:col>5</xdr:col>
      <xdr:colOff>2372458</xdr:colOff>
      <xdr:row>100</xdr:row>
      <xdr:rowOff>1853711</xdr:rowOff>
    </xdr:to>
    <xdr:sp macro="" textlink="">
      <xdr:nvSpPr>
        <xdr:cNvPr id="429" name="Rectangle 428">
          <a:extLst>
            <a:ext uri="{FF2B5EF4-FFF2-40B4-BE49-F238E27FC236}">
              <a16:creationId xmlns:a16="http://schemas.microsoft.com/office/drawing/2014/main" id="{00000000-0008-0000-0A00-0000AD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100</xdr:row>
      <xdr:rowOff>786912</xdr:rowOff>
    </xdr:from>
    <xdr:to>
      <xdr:col>5</xdr:col>
      <xdr:colOff>2305783</xdr:colOff>
      <xdr:row>100</xdr:row>
      <xdr:rowOff>845527</xdr:rowOff>
    </xdr:to>
    <xdr:sp macro="" textlink="">
      <xdr:nvSpPr>
        <xdr:cNvPr id="430" name="Rectangle 429">
          <a:extLst>
            <a:ext uri="{FF2B5EF4-FFF2-40B4-BE49-F238E27FC236}">
              <a16:creationId xmlns:a16="http://schemas.microsoft.com/office/drawing/2014/main" id="{00000000-0008-0000-0A00-0000AE010000}"/>
            </a:ext>
          </a:extLst>
        </xdr:cNvPr>
        <xdr:cNvSpPr/>
      </xdr:nvSpPr>
      <xdr:spPr>
        <a:xfrm>
          <a:off x="10941783" y="938779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100</xdr:row>
      <xdr:rowOff>262303</xdr:rowOff>
    </xdr:from>
    <xdr:to>
      <xdr:col>5</xdr:col>
      <xdr:colOff>493102</xdr:colOff>
      <xdr:row>100</xdr:row>
      <xdr:rowOff>414703</xdr:rowOff>
    </xdr:to>
    <xdr:sp macro="" textlink="">
      <xdr:nvSpPr>
        <xdr:cNvPr id="434" name="Rectangle 433">
          <a:extLst>
            <a:ext uri="{FF2B5EF4-FFF2-40B4-BE49-F238E27FC236}">
              <a16:creationId xmlns:a16="http://schemas.microsoft.com/office/drawing/2014/main" id="{00000000-0008-0000-0A00-0000B2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100</xdr:row>
      <xdr:rowOff>1672004</xdr:rowOff>
    </xdr:from>
    <xdr:to>
      <xdr:col>5</xdr:col>
      <xdr:colOff>487241</xdr:colOff>
      <xdr:row>100</xdr:row>
      <xdr:rowOff>1824404</xdr:rowOff>
    </xdr:to>
    <xdr:sp macro="" textlink="">
      <xdr:nvSpPr>
        <xdr:cNvPr id="435" name="Rectangle 434">
          <a:extLst>
            <a:ext uri="{FF2B5EF4-FFF2-40B4-BE49-F238E27FC236}">
              <a16:creationId xmlns:a16="http://schemas.microsoft.com/office/drawing/2014/main" id="{00000000-0008-0000-0A00-0000B3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100</xdr:row>
      <xdr:rowOff>244719</xdr:rowOff>
    </xdr:from>
    <xdr:to>
      <xdr:col>5</xdr:col>
      <xdr:colOff>2380518</xdr:colOff>
      <xdr:row>100</xdr:row>
      <xdr:rowOff>397119</xdr:rowOff>
    </xdr:to>
    <xdr:sp macro="" textlink="">
      <xdr:nvSpPr>
        <xdr:cNvPr id="436" name="Rectangle 435">
          <a:extLst>
            <a:ext uri="{FF2B5EF4-FFF2-40B4-BE49-F238E27FC236}">
              <a16:creationId xmlns:a16="http://schemas.microsoft.com/office/drawing/2014/main" id="{00000000-0008-0000-0A00-0000B4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100</xdr:row>
      <xdr:rowOff>1701311</xdr:rowOff>
    </xdr:from>
    <xdr:to>
      <xdr:col>5</xdr:col>
      <xdr:colOff>2372458</xdr:colOff>
      <xdr:row>100</xdr:row>
      <xdr:rowOff>1853711</xdr:rowOff>
    </xdr:to>
    <xdr:sp macro="" textlink="">
      <xdr:nvSpPr>
        <xdr:cNvPr id="437" name="Rectangle 436">
          <a:extLst>
            <a:ext uri="{FF2B5EF4-FFF2-40B4-BE49-F238E27FC236}">
              <a16:creationId xmlns:a16="http://schemas.microsoft.com/office/drawing/2014/main" id="{00000000-0008-0000-0A00-0000B5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591648</xdr:colOff>
      <xdr:row>100</xdr:row>
      <xdr:rowOff>703385</xdr:rowOff>
    </xdr:from>
    <xdr:to>
      <xdr:col>5</xdr:col>
      <xdr:colOff>826110</xdr:colOff>
      <xdr:row>100</xdr:row>
      <xdr:rowOff>930519</xdr:rowOff>
    </xdr:to>
    <xdr:sp macro="" textlink="">
      <xdr:nvSpPr>
        <xdr:cNvPr id="438" name="Organigramme : Jonction de sommaire 437">
          <a:extLst>
            <a:ext uri="{FF2B5EF4-FFF2-40B4-BE49-F238E27FC236}">
              <a16:creationId xmlns:a16="http://schemas.microsoft.com/office/drawing/2014/main" id="{00000000-0008-0000-0A00-0000B6010000}"/>
            </a:ext>
          </a:extLst>
        </xdr:cNvPr>
        <xdr:cNvSpPr/>
      </xdr:nvSpPr>
      <xdr:spPr>
        <a:xfrm>
          <a:off x="11132648" y="937943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1883018</xdr:colOff>
      <xdr:row>100</xdr:row>
      <xdr:rowOff>710711</xdr:rowOff>
    </xdr:from>
    <xdr:to>
      <xdr:col>5</xdr:col>
      <xdr:colOff>2117480</xdr:colOff>
      <xdr:row>100</xdr:row>
      <xdr:rowOff>937845</xdr:rowOff>
    </xdr:to>
    <xdr:sp macro="" textlink="">
      <xdr:nvSpPr>
        <xdr:cNvPr id="439" name="Organigramme : Jonction de sommaire 438">
          <a:extLst>
            <a:ext uri="{FF2B5EF4-FFF2-40B4-BE49-F238E27FC236}">
              <a16:creationId xmlns:a16="http://schemas.microsoft.com/office/drawing/2014/main" id="{00000000-0008-0000-0A00-0000B7010000}"/>
            </a:ext>
          </a:extLst>
        </xdr:cNvPr>
        <xdr:cNvSpPr/>
      </xdr:nvSpPr>
      <xdr:spPr>
        <a:xfrm>
          <a:off x="12424018" y="9380171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1012031</xdr:colOff>
      <xdr:row>100</xdr:row>
      <xdr:rowOff>690563</xdr:rowOff>
    </xdr:from>
    <xdr:to>
      <xdr:col>5</xdr:col>
      <xdr:colOff>1246493</xdr:colOff>
      <xdr:row>100</xdr:row>
      <xdr:rowOff>917697</xdr:rowOff>
    </xdr:to>
    <xdr:sp macro="" textlink="">
      <xdr:nvSpPr>
        <xdr:cNvPr id="440" name="Organigramme : Jonction de sommaire 439">
          <a:extLst>
            <a:ext uri="{FF2B5EF4-FFF2-40B4-BE49-F238E27FC236}">
              <a16:creationId xmlns:a16="http://schemas.microsoft.com/office/drawing/2014/main" id="{00000000-0008-0000-0A00-0000B8010000}"/>
            </a:ext>
          </a:extLst>
        </xdr:cNvPr>
        <xdr:cNvSpPr/>
      </xdr:nvSpPr>
      <xdr:spPr>
        <a:xfrm>
          <a:off x="11553031" y="9378156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1452562</xdr:colOff>
      <xdr:row>100</xdr:row>
      <xdr:rowOff>702468</xdr:rowOff>
    </xdr:from>
    <xdr:to>
      <xdr:col>5</xdr:col>
      <xdr:colOff>1687024</xdr:colOff>
      <xdr:row>100</xdr:row>
      <xdr:rowOff>929602</xdr:rowOff>
    </xdr:to>
    <xdr:sp macro="" textlink="">
      <xdr:nvSpPr>
        <xdr:cNvPr id="441" name="Organigramme : Jonction de sommaire 440">
          <a:extLst>
            <a:ext uri="{FF2B5EF4-FFF2-40B4-BE49-F238E27FC236}">
              <a16:creationId xmlns:a16="http://schemas.microsoft.com/office/drawing/2014/main" id="{00000000-0008-0000-0A00-0000B9010000}"/>
            </a:ext>
          </a:extLst>
        </xdr:cNvPr>
        <xdr:cNvSpPr/>
      </xdr:nvSpPr>
      <xdr:spPr>
        <a:xfrm>
          <a:off x="11993562" y="937934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100</xdr:row>
      <xdr:rowOff>1271099</xdr:rowOff>
    </xdr:from>
    <xdr:to>
      <xdr:col>5</xdr:col>
      <xdr:colOff>2301875</xdr:colOff>
      <xdr:row>100</xdr:row>
      <xdr:rowOff>1329714</xdr:rowOff>
    </xdr:to>
    <xdr:sp macro="" textlink="">
      <xdr:nvSpPr>
        <xdr:cNvPr id="443" name="Rectangle 442">
          <a:extLst>
            <a:ext uri="{FF2B5EF4-FFF2-40B4-BE49-F238E27FC236}">
              <a16:creationId xmlns:a16="http://schemas.microsoft.com/office/drawing/2014/main" id="{00000000-0008-0000-0A00-0000BB010000}"/>
            </a:ext>
          </a:extLst>
        </xdr:cNvPr>
        <xdr:cNvSpPr/>
      </xdr:nvSpPr>
      <xdr:spPr>
        <a:xfrm>
          <a:off x="10937875" y="9436209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587740</xdr:colOff>
      <xdr:row>100</xdr:row>
      <xdr:rowOff>1187572</xdr:rowOff>
    </xdr:from>
    <xdr:to>
      <xdr:col>5</xdr:col>
      <xdr:colOff>822202</xdr:colOff>
      <xdr:row>100</xdr:row>
      <xdr:rowOff>1414706</xdr:rowOff>
    </xdr:to>
    <xdr:sp macro="" textlink="">
      <xdr:nvSpPr>
        <xdr:cNvPr id="444" name="Organigramme : Jonction de sommaire 443">
          <a:extLst>
            <a:ext uri="{FF2B5EF4-FFF2-40B4-BE49-F238E27FC236}">
              <a16:creationId xmlns:a16="http://schemas.microsoft.com/office/drawing/2014/main" id="{00000000-0008-0000-0A00-0000BC010000}"/>
            </a:ext>
          </a:extLst>
        </xdr:cNvPr>
        <xdr:cNvSpPr/>
      </xdr:nvSpPr>
      <xdr:spPr>
        <a:xfrm>
          <a:off x="11128740" y="9427857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1879110</xdr:colOff>
      <xdr:row>100</xdr:row>
      <xdr:rowOff>1194898</xdr:rowOff>
    </xdr:from>
    <xdr:to>
      <xdr:col>5</xdr:col>
      <xdr:colOff>2113572</xdr:colOff>
      <xdr:row>100</xdr:row>
      <xdr:rowOff>1422032</xdr:rowOff>
    </xdr:to>
    <xdr:sp macro="" textlink="">
      <xdr:nvSpPr>
        <xdr:cNvPr id="445" name="Organigramme : Jonction de sommaire 444">
          <a:extLst>
            <a:ext uri="{FF2B5EF4-FFF2-40B4-BE49-F238E27FC236}">
              <a16:creationId xmlns:a16="http://schemas.microsoft.com/office/drawing/2014/main" id="{00000000-0008-0000-0A00-0000BD010000}"/>
            </a:ext>
          </a:extLst>
        </xdr:cNvPr>
        <xdr:cNvSpPr/>
      </xdr:nvSpPr>
      <xdr:spPr>
        <a:xfrm>
          <a:off x="12420110" y="942858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1008123</xdr:colOff>
      <xdr:row>100</xdr:row>
      <xdr:rowOff>1174750</xdr:rowOff>
    </xdr:from>
    <xdr:to>
      <xdr:col>5</xdr:col>
      <xdr:colOff>1242585</xdr:colOff>
      <xdr:row>100</xdr:row>
      <xdr:rowOff>1401884</xdr:rowOff>
    </xdr:to>
    <xdr:sp macro="" textlink="">
      <xdr:nvSpPr>
        <xdr:cNvPr id="446" name="Organigramme : Jonction de sommaire 445">
          <a:extLst>
            <a:ext uri="{FF2B5EF4-FFF2-40B4-BE49-F238E27FC236}">
              <a16:creationId xmlns:a16="http://schemas.microsoft.com/office/drawing/2014/main" id="{00000000-0008-0000-0A00-0000BE010000}"/>
            </a:ext>
          </a:extLst>
        </xdr:cNvPr>
        <xdr:cNvSpPr/>
      </xdr:nvSpPr>
      <xdr:spPr>
        <a:xfrm>
          <a:off x="11549123" y="9426575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1448654</xdr:colOff>
      <xdr:row>100</xdr:row>
      <xdr:rowOff>1186655</xdr:rowOff>
    </xdr:from>
    <xdr:to>
      <xdr:col>5</xdr:col>
      <xdr:colOff>1683116</xdr:colOff>
      <xdr:row>100</xdr:row>
      <xdr:rowOff>1413789</xdr:rowOff>
    </xdr:to>
    <xdr:sp macro="" textlink="">
      <xdr:nvSpPr>
        <xdr:cNvPr id="447" name="Organigramme : Jonction de sommaire 446">
          <a:extLst>
            <a:ext uri="{FF2B5EF4-FFF2-40B4-BE49-F238E27FC236}">
              <a16:creationId xmlns:a16="http://schemas.microsoft.com/office/drawing/2014/main" id="{00000000-0008-0000-0A00-0000BF010000}"/>
            </a:ext>
          </a:extLst>
        </xdr:cNvPr>
        <xdr:cNvSpPr/>
      </xdr:nvSpPr>
      <xdr:spPr>
        <a:xfrm>
          <a:off x="11989654" y="9427765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504825</xdr:colOff>
      <xdr:row>101</xdr:row>
      <xdr:rowOff>276225</xdr:rowOff>
    </xdr:from>
    <xdr:to>
      <xdr:col>5</xdr:col>
      <xdr:colOff>2219325</xdr:colOff>
      <xdr:row>101</xdr:row>
      <xdr:rowOff>285750</xdr:rowOff>
    </xdr:to>
    <xdr:cxnSp macro="">
      <xdr:nvCxnSpPr>
        <xdr:cNvPr id="448" name="Connecteur droit 447">
          <a:extLst>
            <a:ext uri="{FF2B5EF4-FFF2-40B4-BE49-F238E27FC236}">
              <a16:creationId xmlns:a16="http://schemas.microsoft.com/office/drawing/2014/main" id="{00000000-0008-0000-0A00-0000C0010000}"/>
            </a:ext>
          </a:extLst>
        </xdr:cNvPr>
        <xdr:cNvCxnSpPr/>
      </xdr:nvCxnSpPr>
      <xdr:spPr>
        <a:xfrm flipV="1">
          <a:off x="11045825" y="93367225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101</xdr:row>
      <xdr:rowOff>1814145</xdr:rowOff>
    </xdr:from>
    <xdr:to>
      <xdr:col>5</xdr:col>
      <xdr:colOff>2203205</xdr:colOff>
      <xdr:row>101</xdr:row>
      <xdr:rowOff>1827333</xdr:rowOff>
    </xdr:to>
    <xdr:cxnSp macro="">
      <xdr:nvCxnSpPr>
        <xdr:cNvPr id="449" name="Connecteur droit 448">
          <a:extLst>
            <a:ext uri="{FF2B5EF4-FFF2-40B4-BE49-F238E27FC236}">
              <a16:creationId xmlns:a16="http://schemas.microsoft.com/office/drawing/2014/main" id="{00000000-0008-0000-0A00-0000C1010000}"/>
            </a:ext>
          </a:extLst>
        </xdr:cNvPr>
        <xdr:cNvCxnSpPr/>
      </xdr:nvCxnSpPr>
      <xdr:spPr>
        <a:xfrm>
          <a:off x="11006260" y="94905145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101</xdr:row>
      <xdr:rowOff>262303</xdr:rowOff>
    </xdr:from>
    <xdr:to>
      <xdr:col>5</xdr:col>
      <xdr:colOff>493102</xdr:colOff>
      <xdr:row>101</xdr:row>
      <xdr:rowOff>414703</xdr:rowOff>
    </xdr:to>
    <xdr:sp macro="" textlink="">
      <xdr:nvSpPr>
        <xdr:cNvPr id="450" name="Rectangle 449">
          <a:extLst>
            <a:ext uri="{FF2B5EF4-FFF2-40B4-BE49-F238E27FC236}">
              <a16:creationId xmlns:a16="http://schemas.microsoft.com/office/drawing/2014/main" id="{00000000-0008-0000-0A00-0000C2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101</xdr:row>
      <xdr:rowOff>1672004</xdr:rowOff>
    </xdr:from>
    <xdr:to>
      <xdr:col>5</xdr:col>
      <xdr:colOff>487241</xdr:colOff>
      <xdr:row>101</xdr:row>
      <xdr:rowOff>1824404</xdr:rowOff>
    </xdr:to>
    <xdr:sp macro="" textlink="">
      <xdr:nvSpPr>
        <xdr:cNvPr id="451" name="Rectangle 450">
          <a:extLst>
            <a:ext uri="{FF2B5EF4-FFF2-40B4-BE49-F238E27FC236}">
              <a16:creationId xmlns:a16="http://schemas.microsoft.com/office/drawing/2014/main" id="{00000000-0008-0000-0A00-0000C3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101</xdr:row>
      <xdr:rowOff>244719</xdr:rowOff>
    </xdr:from>
    <xdr:to>
      <xdr:col>5</xdr:col>
      <xdr:colOff>2380518</xdr:colOff>
      <xdr:row>101</xdr:row>
      <xdr:rowOff>397119</xdr:rowOff>
    </xdr:to>
    <xdr:sp macro="" textlink="">
      <xdr:nvSpPr>
        <xdr:cNvPr id="452" name="Rectangle 451">
          <a:extLst>
            <a:ext uri="{FF2B5EF4-FFF2-40B4-BE49-F238E27FC236}">
              <a16:creationId xmlns:a16="http://schemas.microsoft.com/office/drawing/2014/main" id="{00000000-0008-0000-0A00-0000C4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101</xdr:row>
      <xdr:rowOff>1701311</xdr:rowOff>
    </xdr:from>
    <xdr:to>
      <xdr:col>5</xdr:col>
      <xdr:colOff>2372458</xdr:colOff>
      <xdr:row>101</xdr:row>
      <xdr:rowOff>1853711</xdr:rowOff>
    </xdr:to>
    <xdr:sp macro="" textlink="">
      <xdr:nvSpPr>
        <xdr:cNvPr id="453" name="Rectangle 452">
          <a:extLst>
            <a:ext uri="{FF2B5EF4-FFF2-40B4-BE49-F238E27FC236}">
              <a16:creationId xmlns:a16="http://schemas.microsoft.com/office/drawing/2014/main" id="{00000000-0008-0000-0A00-0000C5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101</xdr:row>
      <xdr:rowOff>786912</xdr:rowOff>
    </xdr:from>
    <xdr:to>
      <xdr:col>5</xdr:col>
      <xdr:colOff>2305783</xdr:colOff>
      <xdr:row>101</xdr:row>
      <xdr:rowOff>845527</xdr:rowOff>
    </xdr:to>
    <xdr:sp macro="" textlink="">
      <xdr:nvSpPr>
        <xdr:cNvPr id="454" name="Rectangle 453">
          <a:extLst>
            <a:ext uri="{FF2B5EF4-FFF2-40B4-BE49-F238E27FC236}">
              <a16:creationId xmlns:a16="http://schemas.microsoft.com/office/drawing/2014/main" id="{00000000-0008-0000-0A00-0000C6010000}"/>
            </a:ext>
          </a:extLst>
        </xdr:cNvPr>
        <xdr:cNvSpPr/>
      </xdr:nvSpPr>
      <xdr:spPr>
        <a:xfrm>
          <a:off x="10941783" y="938779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2352675</xdr:colOff>
      <xdr:row>101</xdr:row>
      <xdr:rowOff>381732</xdr:rowOff>
    </xdr:from>
    <xdr:to>
      <xdr:col>5</xdr:col>
      <xdr:colOff>2360737</xdr:colOff>
      <xdr:row>101</xdr:row>
      <xdr:rowOff>1685925</xdr:rowOff>
    </xdr:to>
    <xdr:cxnSp macro="">
      <xdr:nvCxnSpPr>
        <xdr:cNvPr id="455" name="Connecteur droit 454">
          <a:extLst>
            <a:ext uri="{FF2B5EF4-FFF2-40B4-BE49-F238E27FC236}">
              <a16:creationId xmlns:a16="http://schemas.microsoft.com/office/drawing/2014/main" id="{00000000-0008-0000-0A00-0000C7010000}"/>
            </a:ext>
          </a:extLst>
        </xdr:cNvPr>
        <xdr:cNvCxnSpPr/>
      </xdr:nvCxnSpPr>
      <xdr:spPr>
        <a:xfrm flipH="1">
          <a:off x="12893675" y="93472732"/>
          <a:ext cx="8062" cy="1304193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101</xdr:row>
      <xdr:rowOff>276225</xdr:rowOff>
    </xdr:from>
    <xdr:to>
      <xdr:col>5</xdr:col>
      <xdr:colOff>2219325</xdr:colOff>
      <xdr:row>101</xdr:row>
      <xdr:rowOff>285750</xdr:rowOff>
    </xdr:to>
    <xdr:cxnSp macro="">
      <xdr:nvCxnSpPr>
        <xdr:cNvPr id="456" name="Connecteur droit 455">
          <a:extLst>
            <a:ext uri="{FF2B5EF4-FFF2-40B4-BE49-F238E27FC236}">
              <a16:creationId xmlns:a16="http://schemas.microsoft.com/office/drawing/2014/main" id="{00000000-0008-0000-0A00-0000C8010000}"/>
            </a:ext>
          </a:extLst>
        </xdr:cNvPr>
        <xdr:cNvCxnSpPr/>
      </xdr:nvCxnSpPr>
      <xdr:spPr>
        <a:xfrm flipV="1">
          <a:off x="11045825" y="93367225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101</xdr:row>
      <xdr:rowOff>1814145</xdr:rowOff>
    </xdr:from>
    <xdr:to>
      <xdr:col>5</xdr:col>
      <xdr:colOff>2203205</xdr:colOff>
      <xdr:row>101</xdr:row>
      <xdr:rowOff>1827333</xdr:rowOff>
    </xdr:to>
    <xdr:cxnSp macro="">
      <xdr:nvCxnSpPr>
        <xdr:cNvPr id="457" name="Connecteur droit 456">
          <a:extLst>
            <a:ext uri="{FF2B5EF4-FFF2-40B4-BE49-F238E27FC236}">
              <a16:creationId xmlns:a16="http://schemas.microsoft.com/office/drawing/2014/main" id="{00000000-0008-0000-0A00-0000C9010000}"/>
            </a:ext>
          </a:extLst>
        </xdr:cNvPr>
        <xdr:cNvCxnSpPr/>
      </xdr:nvCxnSpPr>
      <xdr:spPr>
        <a:xfrm>
          <a:off x="11006260" y="94905145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101</xdr:row>
      <xdr:rowOff>262303</xdr:rowOff>
    </xdr:from>
    <xdr:to>
      <xdr:col>5</xdr:col>
      <xdr:colOff>493102</xdr:colOff>
      <xdr:row>101</xdr:row>
      <xdr:rowOff>414703</xdr:rowOff>
    </xdr:to>
    <xdr:sp macro="" textlink="">
      <xdr:nvSpPr>
        <xdr:cNvPr id="458" name="Rectangle 457">
          <a:extLst>
            <a:ext uri="{FF2B5EF4-FFF2-40B4-BE49-F238E27FC236}">
              <a16:creationId xmlns:a16="http://schemas.microsoft.com/office/drawing/2014/main" id="{00000000-0008-0000-0A00-0000CA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101</xdr:row>
      <xdr:rowOff>1672004</xdr:rowOff>
    </xdr:from>
    <xdr:to>
      <xdr:col>5</xdr:col>
      <xdr:colOff>487241</xdr:colOff>
      <xdr:row>101</xdr:row>
      <xdr:rowOff>1824404</xdr:rowOff>
    </xdr:to>
    <xdr:sp macro="" textlink="">
      <xdr:nvSpPr>
        <xdr:cNvPr id="459" name="Rectangle 458">
          <a:extLst>
            <a:ext uri="{FF2B5EF4-FFF2-40B4-BE49-F238E27FC236}">
              <a16:creationId xmlns:a16="http://schemas.microsoft.com/office/drawing/2014/main" id="{00000000-0008-0000-0A00-0000CB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101</xdr:row>
      <xdr:rowOff>244719</xdr:rowOff>
    </xdr:from>
    <xdr:to>
      <xdr:col>5</xdr:col>
      <xdr:colOff>2380518</xdr:colOff>
      <xdr:row>101</xdr:row>
      <xdr:rowOff>397119</xdr:rowOff>
    </xdr:to>
    <xdr:sp macro="" textlink="">
      <xdr:nvSpPr>
        <xdr:cNvPr id="460" name="Rectangle 459">
          <a:extLst>
            <a:ext uri="{FF2B5EF4-FFF2-40B4-BE49-F238E27FC236}">
              <a16:creationId xmlns:a16="http://schemas.microsoft.com/office/drawing/2014/main" id="{00000000-0008-0000-0A00-0000CC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101</xdr:row>
      <xdr:rowOff>1701311</xdr:rowOff>
    </xdr:from>
    <xdr:to>
      <xdr:col>5</xdr:col>
      <xdr:colOff>2372458</xdr:colOff>
      <xdr:row>101</xdr:row>
      <xdr:rowOff>1853711</xdr:rowOff>
    </xdr:to>
    <xdr:sp macro="" textlink="">
      <xdr:nvSpPr>
        <xdr:cNvPr id="461" name="Rectangle 460">
          <a:extLst>
            <a:ext uri="{FF2B5EF4-FFF2-40B4-BE49-F238E27FC236}">
              <a16:creationId xmlns:a16="http://schemas.microsoft.com/office/drawing/2014/main" id="{00000000-0008-0000-0A00-0000CD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349250</xdr:colOff>
      <xdr:row>101</xdr:row>
      <xdr:rowOff>428625</xdr:rowOff>
    </xdr:from>
    <xdr:to>
      <xdr:col>5</xdr:col>
      <xdr:colOff>357312</xdr:colOff>
      <xdr:row>101</xdr:row>
      <xdr:rowOff>1643063</xdr:rowOff>
    </xdr:to>
    <xdr:cxnSp macro="">
      <xdr:nvCxnSpPr>
        <xdr:cNvPr id="466" name="Connecteur droit 465">
          <a:extLst>
            <a:ext uri="{FF2B5EF4-FFF2-40B4-BE49-F238E27FC236}">
              <a16:creationId xmlns:a16="http://schemas.microsoft.com/office/drawing/2014/main" id="{00000000-0008-0000-0A00-0000D2010000}"/>
            </a:ext>
          </a:extLst>
        </xdr:cNvPr>
        <xdr:cNvCxnSpPr/>
      </xdr:nvCxnSpPr>
      <xdr:spPr>
        <a:xfrm flipH="1">
          <a:off x="10890250" y="93519625"/>
          <a:ext cx="8062" cy="121443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396875</xdr:colOff>
      <xdr:row>101</xdr:row>
      <xdr:rowOff>1271099</xdr:rowOff>
    </xdr:from>
    <xdr:to>
      <xdr:col>5</xdr:col>
      <xdr:colOff>2301875</xdr:colOff>
      <xdr:row>101</xdr:row>
      <xdr:rowOff>1329714</xdr:rowOff>
    </xdr:to>
    <xdr:sp macro="" textlink="">
      <xdr:nvSpPr>
        <xdr:cNvPr id="467" name="Rectangle 466">
          <a:extLst>
            <a:ext uri="{FF2B5EF4-FFF2-40B4-BE49-F238E27FC236}">
              <a16:creationId xmlns:a16="http://schemas.microsoft.com/office/drawing/2014/main" id="{00000000-0008-0000-0A00-0000D3010000}"/>
            </a:ext>
          </a:extLst>
        </xdr:cNvPr>
        <xdr:cNvSpPr/>
      </xdr:nvSpPr>
      <xdr:spPr>
        <a:xfrm>
          <a:off x="10937875" y="9436209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504825</xdr:colOff>
      <xdr:row>102</xdr:row>
      <xdr:rowOff>276225</xdr:rowOff>
    </xdr:from>
    <xdr:to>
      <xdr:col>5</xdr:col>
      <xdr:colOff>2219325</xdr:colOff>
      <xdr:row>102</xdr:row>
      <xdr:rowOff>285750</xdr:rowOff>
    </xdr:to>
    <xdr:cxnSp macro="">
      <xdr:nvCxnSpPr>
        <xdr:cNvPr id="472" name="Connecteur droit 471">
          <a:extLst>
            <a:ext uri="{FF2B5EF4-FFF2-40B4-BE49-F238E27FC236}">
              <a16:creationId xmlns:a16="http://schemas.microsoft.com/office/drawing/2014/main" id="{00000000-0008-0000-0A00-0000D8010000}"/>
            </a:ext>
          </a:extLst>
        </xdr:cNvPr>
        <xdr:cNvCxnSpPr/>
      </xdr:nvCxnSpPr>
      <xdr:spPr>
        <a:xfrm flipV="1">
          <a:off x="11045825" y="93367225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102</xdr:row>
      <xdr:rowOff>1814145</xdr:rowOff>
    </xdr:from>
    <xdr:to>
      <xdr:col>5</xdr:col>
      <xdr:colOff>2203205</xdr:colOff>
      <xdr:row>102</xdr:row>
      <xdr:rowOff>1827333</xdr:rowOff>
    </xdr:to>
    <xdr:cxnSp macro="">
      <xdr:nvCxnSpPr>
        <xdr:cNvPr id="473" name="Connecteur droit 472">
          <a:extLst>
            <a:ext uri="{FF2B5EF4-FFF2-40B4-BE49-F238E27FC236}">
              <a16:creationId xmlns:a16="http://schemas.microsoft.com/office/drawing/2014/main" id="{00000000-0008-0000-0A00-0000D9010000}"/>
            </a:ext>
          </a:extLst>
        </xdr:cNvPr>
        <xdr:cNvCxnSpPr/>
      </xdr:nvCxnSpPr>
      <xdr:spPr>
        <a:xfrm>
          <a:off x="11006260" y="94905145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102</xdr:row>
      <xdr:rowOff>262303</xdr:rowOff>
    </xdr:from>
    <xdr:to>
      <xdr:col>5</xdr:col>
      <xdr:colOff>493102</xdr:colOff>
      <xdr:row>102</xdr:row>
      <xdr:rowOff>414703</xdr:rowOff>
    </xdr:to>
    <xdr:sp macro="" textlink="">
      <xdr:nvSpPr>
        <xdr:cNvPr id="474" name="Rectangle 473">
          <a:extLst>
            <a:ext uri="{FF2B5EF4-FFF2-40B4-BE49-F238E27FC236}">
              <a16:creationId xmlns:a16="http://schemas.microsoft.com/office/drawing/2014/main" id="{00000000-0008-0000-0A00-0000DA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102</xdr:row>
      <xdr:rowOff>1672004</xdr:rowOff>
    </xdr:from>
    <xdr:to>
      <xdr:col>5</xdr:col>
      <xdr:colOff>487241</xdr:colOff>
      <xdr:row>102</xdr:row>
      <xdr:rowOff>1824404</xdr:rowOff>
    </xdr:to>
    <xdr:sp macro="" textlink="">
      <xdr:nvSpPr>
        <xdr:cNvPr id="475" name="Rectangle 474">
          <a:extLst>
            <a:ext uri="{FF2B5EF4-FFF2-40B4-BE49-F238E27FC236}">
              <a16:creationId xmlns:a16="http://schemas.microsoft.com/office/drawing/2014/main" id="{00000000-0008-0000-0A00-0000DB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102</xdr:row>
      <xdr:rowOff>244719</xdr:rowOff>
    </xdr:from>
    <xdr:to>
      <xdr:col>5</xdr:col>
      <xdr:colOff>2380518</xdr:colOff>
      <xdr:row>102</xdr:row>
      <xdr:rowOff>397119</xdr:rowOff>
    </xdr:to>
    <xdr:sp macro="" textlink="">
      <xdr:nvSpPr>
        <xdr:cNvPr id="476" name="Rectangle 475">
          <a:extLst>
            <a:ext uri="{FF2B5EF4-FFF2-40B4-BE49-F238E27FC236}">
              <a16:creationId xmlns:a16="http://schemas.microsoft.com/office/drawing/2014/main" id="{00000000-0008-0000-0A00-0000DC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102</xdr:row>
      <xdr:rowOff>1701311</xdr:rowOff>
    </xdr:from>
    <xdr:to>
      <xdr:col>5</xdr:col>
      <xdr:colOff>2372458</xdr:colOff>
      <xdr:row>102</xdr:row>
      <xdr:rowOff>1853711</xdr:rowOff>
    </xdr:to>
    <xdr:sp macro="" textlink="">
      <xdr:nvSpPr>
        <xdr:cNvPr id="477" name="Rectangle 476">
          <a:extLst>
            <a:ext uri="{FF2B5EF4-FFF2-40B4-BE49-F238E27FC236}">
              <a16:creationId xmlns:a16="http://schemas.microsoft.com/office/drawing/2014/main" id="{00000000-0008-0000-0A00-0000DD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102</xdr:row>
      <xdr:rowOff>786912</xdr:rowOff>
    </xdr:from>
    <xdr:to>
      <xdr:col>5</xdr:col>
      <xdr:colOff>2305783</xdr:colOff>
      <xdr:row>102</xdr:row>
      <xdr:rowOff>845527</xdr:rowOff>
    </xdr:to>
    <xdr:sp macro="" textlink="">
      <xdr:nvSpPr>
        <xdr:cNvPr id="478" name="Rectangle 477">
          <a:extLst>
            <a:ext uri="{FF2B5EF4-FFF2-40B4-BE49-F238E27FC236}">
              <a16:creationId xmlns:a16="http://schemas.microsoft.com/office/drawing/2014/main" id="{00000000-0008-0000-0A00-0000DE010000}"/>
            </a:ext>
          </a:extLst>
        </xdr:cNvPr>
        <xdr:cNvSpPr/>
      </xdr:nvSpPr>
      <xdr:spPr>
        <a:xfrm>
          <a:off x="10941783" y="938779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2352675</xdr:colOff>
      <xdr:row>102</xdr:row>
      <xdr:rowOff>381732</xdr:rowOff>
    </xdr:from>
    <xdr:to>
      <xdr:col>5</xdr:col>
      <xdr:colOff>2360737</xdr:colOff>
      <xdr:row>102</xdr:row>
      <xdr:rowOff>1685925</xdr:rowOff>
    </xdr:to>
    <xdr:cxnSp macro="">
      <xdr:nvCxnSpPr>
        <xdr:cNvPr id="479" name="Connecteur droit 478">
          <a:extLst>
            <a:ext uri="{FF2B5EF4-FFF2-40B4-BE49-F238E27FC236}">
              <a16:creationId xmlns:a16="http://schemas.microsoft.com/office/drawing/2014/main" id="{00000000-0008-0000-0A00-0000DF010000}"/>
            </a:ext>
          </a:extLst>
        </xdr:cNvPr>
        <xdr:cNvCxnSpPr/>
      </xdr:nvCxnSpPr>
      <xdr:spPr>
        <a:xfrm flipH="1">
          <a:off x="12893675" y="93472732"/>
          <a:ext cx="8062" cy="1304193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102</xdr:row>
      <xdr:rowOff>276225</xdr:rowOff>
    </xdr:from>
    <xdr:to>
      <xdr:col>5</xdr:col>
      <xdr:colOff>2219325</xdr:colOff>
      <xdr:row>102</xdr:row>
      <xdr:rowOff>285750</xdr:rowOff>
    </xdr:to>
    <xdr:cxnSp macro="">
      <xdr:nvCxnSpPr>
        <xdr:cNvPr id="480" name="Connecteur droit 479">
          <a:extLst>
            <a:ext uri="{FF2B5EF4-FFF2-40B4-BE49-F238E27FC236}">
              <a16:creationId xmlns:a16="http://schemas.microsoft.com/office/drawing/2014/main" id="{00000000-0008-0000-0A00-0000E0010000}"/>
            </a:ext>
          </a:extLst>
        </xdr:cNvPr>
        <xdr:cNvCxnSpPr/>
      </xdr:nvCxnSpPr>
      <xdr:spPr>
        <a:xfrm flipV="1">
          <a:off x="11045825" y="93367225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102</xdr:row>
      <xdr:rowOff>1814145</xdr:rowOff>
    </xdr:from>
    <xdr:to>
      <xdr:col>5</xdr:col>
      <xdr:colOff>2203205</xdr:colOff>
      <xdr:row>102</xdr:row>
      <xdr:rowOff>1827333</xdr:rowOff>
    </xdr:to>
    <xdr:cxnSp macro="">
      <xdr:nvCxnSpPr>
        <xdr:cNvPr id="481" name="Connecteur droit 480">
          <a:extLst>
            <a:ext uri="{FF2B5EF4-FFF2-40B4-BE49-F238E27FC236}">
              <a16:creationId xmlns:a16="http://schemas.microsoft.com/office/drawing/2014/main" id="{00000000-0008-0000-0A00-0000E1010000}"/>
            </a:ext>
          </a:extLst>
        </xdr:cNvPr>
        <xdr:cNvCxnSpPr/>
      </xdr:nvCxnSpPr>
      <xdr:spPr>
        <a:xfrm>
          <a:off x="11006260" y="94905145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102</xdr:row>
      <xdr:rowOff>262303</xdr:rowOff>
    </xdr:from>
    <xdr:to>
      <xdr:col>5</xdr:col>
      <xdr:colOff>493102</xdr:colOff>
      <xdr:row>102</xdr:row>
      <xdr:rowOff>414703</xdr:rowOff>
    </xdr:to>
    <xdr:sp macro="" textlink="">
      <xdr:nvSpPr>
        <xdr:cNvPr id="482" name="Rectangle 481">
          <a:extLst>
            <a:ext uri="{FF2B5EF4-FFF2-40B4-BE49-F238E27FC236}">
              <a16:creationId xmlns:a16="http://schemas.microsoft.com/office/drawing/2014/main" id="{00000000-0008-0000-0A00-0000E2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102</xdr:row>
      <xdr:rowOff>1672004</xdr:rowOff>
    </xdr:from>
    <xdr:to>
      <xdr:col>5</xdr:col>
      <xdr:colOff>487241</xdr:colOff>
      <xdr:row>102</xdr:row>
      <xdr:rowOff>1824404</xdr:rowOff>
    </xdr:to>
    <xdr:sp macro="" textlink="">
      <xdr:nvSpPr>
        <xdr:cNvPr id="483" name="Rectangle 482">
          <a:extLst>
            <a:ext uri="{FF2B5EF4-FFF2-40B4-BE49-F238E27FC236}">
              <a16:creationId xmlns:a16="http://schemas.microsoft.com/office/drawing/2014/main" id="{00000000-0008-0000-0A00-0000E3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102</xdr:row>
      <xdr:rowOff>244719</xdr:rowOff>
    </xdr:from>
    <xdr:to>
      <xdr:col>5</xdr:col>
      <xdr:colOff>2380518</xdr:colOff>
      <xdr:row>102</xdr:row>
      <xdr:rowOff>397119</xdr:rowOff>
    </xdr:to>
    <xdr:sp macro="" textlink="">
      <xdr:nvSpPr>
        <xdr:cNvPr id="484" name="Rectangle 483">
          <a:extLst>
            <a:ext uri="{FF2B5EF4-FFF2-40B4-BE49-F238E27FC236}">
              <a16:creationId xmlns:a16="http://schemas.microsoft.com/office/drawing/2014/main" id="{00000000-0008-0000-0A00-0000E4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102</xdr:row>
      <xdr:rowOff>1701311</xdr:rowOff>
    </xdr:from>
    <xdr:to>
      <xdr:col>5</xdr:col>
      <xdr:colOff>2372458</xdr:colOff>
      <xdr:row>102</xdr:row>
      <xdr:rowOff>1853711</xdr:rowOff>
    </xdr:to>
    <xdr:sp macro="" textlink="">
      <xdr:nvSpPr>
        <xdr:cNvPr id="485" name="Rectangle 484">
          <a:extLst>
            <a:ext uri="{FF2B5EF4-FFF2-40B4-BE49-F238E27FC236}">
              <a16:creationId xmlns:a16="http://schemas.microsoft.com/office/drawing/2014/main" id="{00000000-0008-0000-0A00-0000E5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715473</xdr:colOff>
      <xdr:row>102</xdr:row>
      <xdr:rowOff>693860</xdr:rowOff>
    </xdr:from>
    <xdr:to>
      <xdr:col>5</xdr:col>
      <xdr:colOff>949935</xdr:colOff>
      <xdr:row>102</xdr:row>
      <xdr:rowOff>920994</xdr:rowOff>
    </xdr:to>
    <xdr:sp macro="" textlink="">
      <xdr:nvSpPr>
        <xdr:cNvPr id="486" name="Organigramme : Jonction de sommaire 485">
          <a:extLst>
            <a:ext uri="{FF2B5EF4-FFF2-40B4-BE49-F238E27FC236}">
              <a16:creationId xmlns:a16="http://schemas.microsoft.com/office/drawing/2014/main" id="{00000000-0008-0000-0A00-0000E6010000}"/>
            </a:ext>
          </a:extLst>
        </xdr:cNvPr>
        <xdr:cNvSpPr/>
      </xdr:nvSpPr>
      <xdr:spPr>
        <a:xfrm>
          <a:off x="11259648" y="10162076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1740143</xdr:colOff>
      <xdr:row>102</xdr:row>
      <xdr:rowOff>710711</xdr:rowOff>
    </xdr:from>
    <xdr:to>
      <xdr:col>5</xdr:col>
      <xdr:colOff>1974605</xdr:colOff>
      <xdr:row>102</xdr:row>
      <xdr:rowOff>937845</xdr:rowOff>
    </xdr:to>
    <xdr:sp macro="" textlink="">
      <xdr:nvSpPr>
        <xdr:cNvPr id="487" name="Organigramme : Jonction de sommaire 486">
          <a:extLst>
            <a:ext uri="{FF2B5EF4-FFF2-40B4-BE49-F238E27FC236}">
              <a16:creationId xmlns:a16="http://schemas.microsoft.com/office/drawing/2014/main" id="{00000000-0008-0000-0A00-0000E7010000}"/>
            </a:ext>
          </a:extLst>
        </xdr:cNvPr>
        <xdr:cNvSpPr/>
      </xdr:nvSpPr>
      <xdr:spPr>
        <a:xfrm>
          <a:off x="12284318" y="10163761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349250</xdr:colOff>
      <xdr:row>102</xdr:row>
      <xdr:rowOff>428625</xdr:rowOff>
    </xdr:from>
    <xdr:to>
      <xdr:col>5</xdr:col>
      <xdr:colOff>357312</xdr:colOff>
      <xdr:row>102</xdr:row>
      <xdr:rowOff>1643063</xdr:rowOff>
    </xdr:to>
    <xdr:cxnSp macro="">
      <xdr:nvCxnSpPr>
        <xdr:cNvPr id="490" name="Connecteur droit 489">
          <a:extLst>
            <a:ext uri="{FF2B5EF4-FFF2-40B4-BE49-F238E27FC236}">
              <a16:creationId xmlns:a16="http://schemas.microsoft.com/office/drawing/2014/main" id="{00000000-0008-0000-0A00-0000EA010000}"/>
            </a:ext>
          </a:extLst>
        </xdr:cNvPr>
        <xdr:cNvCxnSpPr/>
      </xdr:nvCxnSpPr>
      <xdr:spPr>
        <a:xfrm flipH="1">
          <a:off x="10890250" y="93519625"/>
          <a:ext cx="8062" cy="121443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396875</xdr:colOff>
      <xdr:row>102</xdr:row>
      <xdr:rowOff>1271099</xdr:rowOff>
    </xdr:from>
    <xdr:to>
      <xdr:col>5</xdr:col>
      <xdr:colOff>2301875</xdr:colOff>
      <xdr:row>102</xdr:row>
      <xdr:rowOff>1329714</xdr:rowOff>
    </xdr:to>
    <xdr:sp macro="" textlink="">
      <xdr:nvSpPr>
        <xdr:cNvPr id="491" name="Rectangle 490">
          <a:extLst>
            <a:ext uri="{FF2B5EF4-FFF2-40B4-BE49-F238E27FC236}">
              <a16:creationId xmlns:a16="http://schemas.microsoft.com/office/drawing/2014/main" id="{00000000-0008-0000-0A00-0000EB010000}"/>
            </a:ext>
          </a:extLst>
        </xdr:cNvPr>
        <xdr:cNvSpPr/>
      </xdr:nvSpPr>
      <xdr:spPr>
        <a:xfrm>
          <a:off x="10937875" y="9436209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730615</xdr:colOff>
      <xdr:row>102</xdr:row>
      <xdr:rowOff>1178047</xdr:rowOff>
    </xdr:from>
    <xdr:to>
      <xdr:col>5</xdr:col>
      <xdr:colOff>965077</xdr:colOff>
      <xdr:row>102</xdr:row>
      <xdr:rowOff>1405181</xdr:rowOff>
    </xdr:to>
    <xdr:sp macro="" textlink="">
      <xdr:nvSpPr>
        <xdr:cNvPr id="492" name="Organigramme : Jonction de sommaire 491">
          <a:extLst>
            <a:ext uri="{FF2B5EF4-FFF2-40B4-BE49-F238E27FC236}">
              <a16:creationId xmlns:a16="http://schemas.microsoft.com/office/drawing/2014/main" id="{00000000-0008-0000-0A00-0000EC010000}"/>
            </a:ext>
          </a:extLst>
        </xdr:cNvPr>
        <xdr:cNvSpPr/>
      </xdr:nvSpPr>
      <xdr:spPr>
        <a:xfrm>
          <a:off x="11274790" y="10210494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1736235</xdr:colOff>
      <xdr:row>102</xdr:row>
      <xdr:rowOff>1194898</xdr:rowOff>
    </xdr:from>
    <xdr:to>
      <xdr:col>5</xdr:col>
      <xdr:colOff>1970697</xdr:colOff>
      <xdr:row>102</xdr:row>
      <xdr:rowOff>1422032</xdr:rowOff>
    </xdr:to>
    <xdr:sp macro="" textlink="">
      <xdr:nvSpPr>
        <xdr:cNvPr id="493" name="Organigramme : Jonction de sommaire 492">
          <a:extLst>
            <a:ext uri="{FF2B5EF4-FFF2-40B4-BE49-F238E27FC236}">
              <a16:creationId xmlns:a16="http://schemas.microsoft.com/office/drawing/2014/main" id="{00000000-0008-0000-0A00-0000ED010000}"/>
            </a:ext>
          </a:extLst>
        </xdr:cNvPr>
        <xdr:cNvSpPr/>
      </xdr:nvSpPr>
      <xdr:spPr>
        <a:xfrm>
          <a:off x="12280410" y="1021217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504825</xdr:colOff>
      <xdr:row>103</xdr:row>
      <xdr:rowOff>276225</xdr:rowOff>
    </xdr:from>
    <xdr:to>
      <xdr:col>5</xdr:col>
      <xdr:colOff>2219325</xdr:colOff>
      <xdr:row>103</xdr:row>
      <xdr:rowOff>285750</xdr:rowOff>
    </xdr:to>
    <xdr:cxnSp macro="">
      <xdr:nvCxnSpPr>
        <xdr:cNvPr id="496" name="Connecteur droit 495">
          <a:extLst>
            <a:ext uri="{FF2B5EF4-FFF2-40B4-BE49-F238E27FC236}">
              <a16:creationId xmlns:a16="http://schemas.microsoft.com/office/drawing/2014/main" id="{00000000-0008-0000-0A00-0000F0010000}"/>
            </a:ext>
          </a:extLst>
        </xdr:cNvPr>
        <xdr:cNvCxnSpPr/>
      </xdr:nvCxnSpPr>
      <xdr:spPr>
        <a:xfrm flipV="1">
          <a:off x="11045825" y="93367225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103</xdr:row>
      <xdr:rowOff>1814145</xdr:rowOff>
    </xdr:from>
    <xdr:to>
      <xdr:col>5</xdr:col>
      <xdr:colOff>2203205</xdr:colOff>
      <xdr:row>103</xdr:row>
      <xdr:rowOff>1827333</xdr:rowOff>
    </xdr:to>
    <xdr:cxnSp macro="">
      <xdr:nvCxnSpPr>
        <xdr:cNvPr id="497" name="Connecteur droit 496">
          <a:extLst>
            <a:ext uri="{FF2B5EF4-FFF2-40B4-BE49-F238E27FC236}">
              <a16:creationId xmlns:a16="http://schemas.microsoft.com/office/drawing/2014/main" id="{00000000-0008-0000-0A00-0000F1010000}"/>
            </a:ext>
          </a:extLst>
        </xdr:cNvPr>
        <xdr:cNvCxnSpPr/>
      </xdr:nvCxnSpPr>
      <xdr:spPr>
        <a:xfrm>
          <a:off x="11006260" y="94905145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103</xdr:row>
      <xdr:rowOff>262303</xdr:rowOff>
    </xdr:from>
    <xdr:to>
      <xdr:col>5</xdr:col>
      <xdr:colOff>493102</xdr:colOff>
      <xdr:row>103</xdr:row>
      <xdr:rowOff>414703</xdr:rowOff>
    </xdr:to>
    <xdr:sp macro="" textlink="">
      <xdr:nvSpPr>
        <xdr:cNvPr id="498" name="Rectangle 497">
          <a:extLst>
            <a:ext uri="{FF2B5EF4-FFF2-40B4-BE49-F238E27FC236}">
              <a16:creationId xmlns:a16="http://schemas.microsoft.com/office/drawing/2014/main" id="{00000000-0008-0000-0A00-0000F2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103</xdr:row>
      <xdr:rowOff>1672004</xdr:rowOff>
    </xdr:from>
    <xdr:to>
      <xdr:col>5</xdr:col>
      <xdr:colOff>487241</xdr:colOff>
      <xdr:row>103</xdr:row>
      <xdr:rowOff>1824404</xdr:rowOff>
    </xdr:to>
    <xdr:sp macro="" textlink="">
      <xdr:nvSpPr>
        <xdr:cNvPr id="499" name="Rectangle 498">
          <a:extLst>
            <a:ext uri="{FF2B5EF4-FFF2-40B4-BE49-F238E27FC236}">
              <a16:creationId xmlns:a16="http://schemas.microsoft.com/office/drawing/2014/main" id="{00000000-0008-0000-0A00-0000F3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103</xdr:row>
      <xdr:rowOff>244719</xdr:rowOff>
    </xdr:from>
    <xdr:to>
      <xdr:col>5</xdr:col>
      <xdr:colOff>2380518</xdr:colOff>
      <xdr:row>103</xdr:row>
      <xdr:rowOff>397119</xdr:rowOff>
    </xdr:to>
    <xdr:sp macro="" textlink="">
      <xdr:nvSpPr>
        <xdr:cNvPr id="500" name="Rectangle 499">
          <a:extLst>
            <a:ext uri="{FF2B5EF4-FFF2-40B4-BE49-F238E27FC236}">
              <a16:creationId xmlns:a16="http://schemas.microsoft.com/office/drawing/2014/main" id="{00000000-0008-0000-0A00-0000F4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103</xdr:row>
      <xdr:rowOff>1701311</xdr:rowOff>
    </xdr:from>
    <xdr:to>
      <xdr:col>5</xdr:col>
      <xdr:colOff>2372458</xdr:colOff>
      <xdr:row>103</xdr:row>
      <xdr:rowOff>1853711</xdr:rowOff>
    </xdr:to>
    <xdr:sp macro="" textlink="">
      <xdr:nvSpPr>
        <xdr:cNvPr id="501" name="Rectangle 500">
          <a:extLst>
            <a:ext uri="{FF2B5EF4-FFF2-40B4-BE49-F238E27FC236}">
              <a16:creationId xmlns:a16="http://schemas.microsoft.com/office/drawing/2014/main" id="{00000000-0008-0000-0A00-0000F5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103</xdr:row>
      <xdr:rowOff>786912</xdr:rowOff>
    </xdr:from>
    <xdr:to>
      <xdr:col>5</xdr:col>
      <xdr:colOff>2305783</xdr:colOff>
      <xdr:row>103</xdr:row>
      <xdr:rowOff>845527</xdr:rowOff>
    </xdr:to>
    <xdr:sp macro="" textlink="">
      <xdr:nvSpPr>
        <xdr:cNvPr id="502" name="Rectangle 501">
          <a:extLst>
            <a:ext uri="{FF2B5EF4-FFF2-40B4-BE49-F238E27FC236}">
              <a16:creationId xmlns:a16="http://schemas.microsoft.com/office/drawing/2014/main" id="{00000000-0008-0000-0A00-0000F6010000}"/>
            </a:ext>
          </a:extLst>
        </xdr:cNvPr>
        <xdr:cNvSpPr/>
      </xdr:nvSpPr>
      <xdr:spPr>
        <a:xfrm>
          <a:off x="10941783" y="938779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2352675</xdr:colOff>
      <xdr:row>103</xdr:row>
      <xdr:rowOff>381732</xdr:rowOff>
    </xdr:from>
    <xdr:to>
      <xdr:col>5</xdr:col>
      <xdr:colOff>2360737</xdr:colOff>
      <xdr:row>103</xdr:row>
      <xdr:rowOff>1685925</xdr:rowOff>
    </xdr:to>
    <xdr:cxnSp macro="">
      <xdr:nvCxnSpPr>
        <xdr:cNvPr id="503" name="Connecteur droit 502">
          <a:extLst>
            <a:ext uri="{FF2B5EF4-FFF2-40B4-BE49-F238E27FC236}">
              <a16:creationId xmlns:a16="http://schemas.microsoft.com/office/drawing/2014/main" id="{00000000-0008-0000-0A00-0000F7010000}"/>
            </a:ext>
          </a:extLst>
        </xdr:cNvPr>
        <xdr:cNvCxnSpPr/>
      </xdr:nvCxnSpPr>
      <xdr:spPr>
        <a:xfrm flipH="1">
          <a:off x="12893675" y="93472732"/>
          <a:ext cx="8062" cy="1304193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103</xdr:row>
      <xdr:rowOff>276225</xdr:rowOff>
    </xdr:from>
    <xdr:to>
      <xdr:col>5</xdr:col>
      <xdr:colOff>2219325</xdr:colOff>
      <xdr:row>103</xdr:row>
      <xdr:rowOff>285750</xdr:rowOff>
    </xdr:to>
    <xdr:cxnSp macro="">
      <xdr:nvCxnSpPr>
        <xdr:cNvPr id="504" name="Connecteur droit 503">
          <a:extLst>
            <a:ext uri="{FF2B5EF4-FFF2-40B4-BE49-F238E27FC236}">
              <a16:creationId xmlns:a16="http://schemas.microsoft.com/office/drawing/2014/main" id="{00000000-0008-0000-0A00-0000F8010000}"/>
            </a:ext>
          </a:extLst>
        </xdr:cNvPr>
        <xdr:cNvCxnSpPr/>
      </xdr:nvCxnSpPr>
      <xdr:spPr>
        <a:xfrm flipV="1">
          <a:off x="11045825" y="93367225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103</xdr:row>
      <xdr:rowOff>1814145</xdr:rowOff>
    </xdr:from>
    <xdr:to>
      <xdr:col>5</xdr:col>
      <xdr:colOff>2203205</xdr:colOff>
      <xdr:row>103</xdr:row>
      <xdr:rowOff>1827333</xdr:rowOff>
    </xdr:to>
    <xdr:cxnSp macro="">
      <xdr:nvCxnSpPr>
        <xdr:cNvPr id="505" name="Connecteur droit 504">
          <a:extLst>
            <a:ext uri="{FF2B5EF4-FFF2-40B4-BE49-F238E27FC236}">
              <a16:creationId xmlns:a16="http://schemas.microsoft.com/office/drawing/2014/main" id="{00000000-0008-0000-0A00-0000F9010000}"/>
            </a:ext>
          </a:extLst>
        </xdr:cNvPr>
        <xdr:cNvCxnSpPr/>
      </xdr:nvCxnSpPr>
      <xdr:spPr>
        <a:xfrm>
          <a:off x="11006260" y="94905145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103</xdr:row>
      <xdr:rowOff>262303</xdr:rowOff>
    </xdr:from>
    <xdr:to>
      <xdr:col>5</xdr:col>
      <xdr:colOff>493102</xdr:colOff>
      <xdr:row>103</xdr:row>
      <xdr:rowOff>414703</xdr:rowOff>
    </xdr:to>
    <xdr:sp macro="" textlink="">
      <xdr:nvSpPr>
        <xdr:cNvPr id="506" name="Rectangle 505">
          <a:extLst>
            <a:ext uri="{FF2B5EF4-FFF2-40B4-BE49-F238E27FC236}">
              <a16:creationId xmlns:a16="http://schemas.microsoft.com/office/drawing/2014/main" id="{00000000-0008-0000-0A00-0000FA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103</xdr:row>
      <xdr:rowOff>1672004</xdr:rowOff>
    </xdr:from>
    <xdr:to>
      <xdr:col>5</xdr:col>
      <xdr:colOff>487241</xdr:colOff>
      <xdr:row>103</xdr:row>
      <xdr:rowOff>1824404</xdr:rowOff>
    </xdr:to>
    <xdr:sp macro="" textlink="">
      <xdr:nvSpPr>
        <xdr:cNvPr id="507" name="Rectangle 506">
          <a:extLst>
            <a:ext uri="{FF2B5EF4-FFF2-40B4-BE49-F238E27FC236}">
              <a16:creationId xmlns:a16="http://schemas.microsoft.com/office/drawing/2014/main" id="{00000000-0008-0000-0A00-0000FB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103</xdr:row>
      <xdr:rowOff>244719</xdr:rowOff>
    </xdr:from>
    <xdr:to>
      <xdr:col>5</xdr:col>
      <xdr:colOff>2380518</xdr:colOff>
      <xdr:row>103</xdr:row>
      <xdr:rowOff>397119</xdr:rowOff>
    </xdr:to>
    <xdr:sp macro="" textlink="">
      <xdr:nvSpPr>
        <xdr:cNvPr id="508" name="Rectangle 507">
          <a:extLst>
            <a:ext uri="{FF2B5EF4-FFF2-40B4-BE49-F238E27FC236}">
              <a16:creationId xmlns:a16="http://schemas.microsoft.com/office/drawing/2014/main" id="{00000000-0008-0000-0A00-0000FC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103</xdr:row>
      <xdr:rowOff>1701311</xdr:rowOff>
    </xdr:from>
    <xdr:to>
      <xdr:col>5</xdr:col>
      <xdr:colOff>2372458</xdr:colOff>
      <xdr:row>103</xdr:row>
      <xdr:rowOff>1853711</xdr:rowOff>
    </xdr:to>
    <xdr:sp macro="" textlink="">
      <xdr:nvSpPr>
        <xdr:cNvPr id="509" name="Rectangle 508">
          <a:extLst>
            <a:ext uri="{FF2B5EF4-FFF2-40B4-BE49-F238E27FC236}">
              <a16:creationId xmlns:a16="http://schemas.microsoft.com/office/drawing/2014/main" id="{00000000-0008-0000-0A00-0000FD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591648</xdr:colOff>
      <xdr:row>103</xdr:row>
      <xdr:rowOff>703385</xdr:rowOff>
    </xdr:from>
    <xdr:to>
      <xdr:col>5</xdr:col>
      <xdr:colOff>826110</xdr:colOff>
      <xdr:row>103</xdr:row>
      <xdr:rowOff>930519</xdr:rowOff>
    </xdr:to>
    <xdr:sp macro="" textlink="">
      <xdr:nvSpPr>
        <xdr:cNvPr id="510" name="Organigramme : Jonction de sommaire 509">
          <a:extLst>
            <a:ext uri="{FF2B5EF4-FFF2-40B4-BE49-F238E27FC236}">
              <a16:creationId xmlns:a16="http://schemas.microsoft.com/office/drawing/2014/main" id="{00000000-0008-0000-0A00-0000FE010000}"/>
            </a:ext>
          </a:extLst>
        </xdr:cNvPr>
        <xdr:cNvSpPr/>
      </xdr:nvSpPr>
      <xdr:spPr>
        <a:xfrm>
          <a:off x="11132648" y="937943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1883018</xdr:colOff>
      <xdr:row>103</xdr:row>
      <xdr:rowOff>710711</xdr:rowOff>
    </xdr:from>
    <xdr:to>
      <xdr:col>5</xdr:col>
      <xdr:colOff>2117480</xdr:colOff>
      <xdr:row>103</xdr:row>
      <xdr:rowOff>937845</xdr:rowOff>
    </xdr:to>
    <xdr:sp macro="" textlink="">
      <xdr:nvSpPr>
        <xdr:cNvPr id="511" name="Organigramme : Jonction de sommaire 510">
          <a:extLst>
            <a:ext uri="{FF2B5EF4-FFF2-40B4-BE49-F238E27FC236}">
              <a16:creationId xmlns:a16="http://schemas.microsoft.com/office/drawing/2014/main" id="{00000000-0008-0000-0A00-0000FF010000}"/>
            </a:ext>
          </a:extLst>
        </xdr:cNvPr>
        <xdr:cNvSpPr/>
      </xdr:nvSpPr>
      <xdr:spPr>
        <a:xfrm>
          <a:off x="12424018" y="9380171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1012031</xdr:colOff>
      <xdr:row>103</xdr:row>
      <xdr:rowOff>690563</xdr:rowOff>
    </xdr:from>
    <xdr:to>
      <xdr:col>5</xdr:col>
      <xdr:colOff>1246493</xdr:colOff>
      <xdr:row>103</xdr:row>
      <xdr:rowOff>917697</xdr:rowOff>
    </xdr:to>
    <xdr:sp macro="" textlink="">
      <xdr:nvSpPr>
        <xdr:cNvPr id="512" name="Organigramme : Jonction de sommaire 511">
          <a:extLst>
            <a:ext uri="{FF2B5EF4-FFF2-40B4-BE49-F238E27FC236}">
              <a16:creationId xmlns:a16="http://schemas.microsoft.com/office/drawing/2014/main" id="{00000000-0008-0000-0A00-000000020000}"/>
            </a:ext>
          </a:extLst>
        </xdr:cNvPr>
        <xdr:cNvSpPr/>
      </xdr:nvSpPr>
      <xdr:spPr>
        <a:xfrm>
          <a:off x="11553031" y="9378156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1452562</xdr:colOff>
      <xdr:row>103</xdr:row>
      <xdr:rowOff>702468</xdr:rowOff>
    </xdr:from>
    <xdr:to>
      <xdr:col>5</xdr:col>
      <xdr:colOff>1687024</xdr:colOff>
      <xdr:row>103</xdr:row>
      <xdr:rowOff>929602</xdr:rowOff>
    </xdr:to>
    <xdr:sp macro="" textlink="">
      <xdr:nvSpPr>
        <xdr:cNvPr id="513" name="Organigramme : Jonction de sommaire 512">
          <a:extLst>
            <a:ext uri="{FF2B5EF4-FFF2-40B4-BE49-F238E27FC236}">
              <a16:creationId xmlns:a16="http://schemas.microsoft.com/office/drawing/2014/main" id="{00000000-0008-0000-0A00-000001020000}"/>
            </a:ext>
          </a:extLst>
        </xdr:cNvPr>
        <xdr:cNvSpPr/>
      </xdr:nvSpPr>
      <xdr:spPr>
        <a:xfrm>
          <a:off x="11993562" y="937934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349250</xdr:colOff>
      <xdr:row>103</xdr:row>
      <xdr:rowOff>428625</xdr:rowOff>
    </xdr:from>
    <xdr:to>
      <xdr:col>5</xdr:col>
      <xdr:colOff>357312</xdr:colOff>
      <xdr:row>103</xdr:row>
      <xdr:rowOff>1643063</xdr:rowOff>
    </xdr:to>
    <xdr:cxnSp macro="">
      <xdr:nvCxnSpPr>
        <xdr:cNvPr id="514" name="Connecteur droit 513">
          <a:extLst>
            <a:ext uri="{FF2B5EF4-FFF2-40B4-BE49-F238E27FC236}">
              <a16:creationId xmlns:a16="http://schemas.microsoft.com/office/drawing/2014/main" id="{00000000-0008-0000-0A00-000002020000}"/>
            </a:ext>
          </a:extLst>
        </xdr:cNvPr>
        <xdr:cNvCxnSpPr/>
      </xdr:nvCxnSpPr>
      <xdr:spPr>
        <a:xfrm flipH="1">
          <a:off x="10890250" y="93519625"/>
          <a:ext cx="8062" cy="121443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396875</xdr:colOff>
      <xdr:row>103</xdr:row>
      <xdr:rowOff>1271099</xdr:rowOff>
    </xdr:from>
    <xdr:to>
      <xdr:col>5</xdr:col>
      <xdr:colOff>2301875</xdr:colOff>
      <xdr:row>103</xdr:row>
      <xdr:rowOff>1329714</xdr:rowOff>
    </xdr:to>
    <xdr:sp macro="" textlink="">
      <xdr:nvSpPr>
        <xdr:cNvPr id="515" name="Rectangle 514">
          <a:extLst>
            <a:ext uri="{FF2B5EF4-FFF2-40B4-BE49-F238E27FC236}">
              <a16:creationId xmlns:a16="http://schemas.microsoft.com/office/drawing/2014/main" id="{00000000-0008-0000-0A00-000003020000}"/>
            </a:ext>
          </a:extLst>
        </xdr:cNvPr>
        <xdr:cNvSpPr/>
      </xdr:nvSpPr>
      <xdr:spPr>
        <a:xfrm>
          <a:off x="10937875" y="9436209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587740</xdr:colOff>
      <xdr:row>103</xdr:row>
      <xdr:rowOff>1187572</xdr:rowOff>
    </xdr:from>
    <xdr:to>
      <xdr:col>5</xdr:col>
      <xdr:colOff>822202</xdr:colOff>
      <xdr:row>103</xdr:row>
      <xdr:rowOff>1414706</xdr:rowOff>
    </xdr:to>
    <xdr:sp macro="" textlink="">
      <xdr:nvSpPr>
        <xdr:cNvPr id="516" name="Organigramme : Jonction de sommaire 515">
          <a:extLst>
            <a:ext uri="{FF2B5EF4-FFF2-40B4-BE49-F238E27FC236}">
              <a16:creationId xmlns:a16="http://schemas.microsoft.com/office/drawing/2014/main" id="{00000000-0008-0000-0A00-000004020000}"/>
            </a:ext>
          </a:extLst>
        </xdr:cNvPr>
        <xdr:cNvSpPr/>
      </xdr:nvSpPr>
      <xdr:spPr>
        <a:xfrm>
          <a:off x="11128740" y="9427857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1879110</xdr:colOff>
      <xdr:row>103</xdr:row>
      <xdr:rowOff>1194898</xdr:rowOff>
    </xdr:from>
    <xdr:to>
      <xdr:col>5</xdr:col>
      <xdr:colOff>2113572</xdr:colOff>
      <xdr:row>103</xdr:row>
      <xdr:rowOff>1422032</xdr:rowOff>
    </xdr:to>
    <xdr:sp macro="" textlink="">
      <xdr:nvSpPr>
        <xdr:cNvPr id="517" name="Organigramme : Jonction de sommaire 516">
          <a:extLst>
            <a:ext uri="{FF2B5EF4-FFF2-40B4-BE49-F238E27FC236}">
              <a16:creationId xmlns:a16="http://schemas.microsoft.com/office/drawing/2014/main" id="{00000000-0008-0000-0A00-000005020000}"/>
            </a:ext>
          </a:extLst>
        </xdr:cNvPr>
        <xdr:cNvSpPr/>
      </xdr:nvSpPr>
      <xdr:spPr>
        <a:xfrm>
          <a:off x="12420110" y="942858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1008123</xdr:colOff>
      <xdr:row>103</xdr:row>
      <xdr:rowOff>1184275</xdr:rowOff>
    </xdr:from>
    <xdr:to>
      <xdr:col>5</xdr:col>
      <xdr:colOff>1242585</xdr:colOff>
      <xdr:row>103</xdr:row>
      <xdr:rowOff>1411409</xdr:rowOff>
    </xdr:to>
    <xdr:sp macro="" textlink="">
      <xdr:nvSpPr>
        <xdr:cNvPr id="518" name="Organigramme : Jonction de sommaire 517">
          <a:extLst>
            <a:ext uri="{FF2B5EF4-FFF2-40B4-BE49-F238E27FC236}">
              <a16:creationId xmlns:a16="http://schemas.microsoft.com/office/drawing/2014/main" id="{00000000-0008-0000-0A00-000006020000}"/>
            </a:ext>
          </a:extLst>
        </xdr:cNvPr>
        <xdr:cNvSpPr/>
      </xdr:nvSpPr>
      <xdr:spPr>
        <a:xfrm>
          <a:off x="11552298" y="1041400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1448654</xdr:colOff>
      <xdr:row>103</xdr:row>
      <xdr:rowOff>1186655</xdr:rowOff>
    </xdr:from>
    <xdr:to>
      <xdr:col>5</xdr:col>
      <xdr:colOff>1683116</xdr:colOff>
      <xdr:row>103</xdr:row>
      <xdr:rowOff>1413789</xdr:rowOff>
    </xdr:to>
    <xdr:sp macro="" textlink="">
      <xdr:nvSpPr>
        <xdr:cNvPr id="519" name="Organigramme : Jonction de sommaire 518">
          <a:extLst>
            <a:ext uri="{FF2B5EF4-FFF2-40B4-BE49-F238E27FC236}">
              <a16:creationId xmlns:a16="http://schemas.microsoft.com/office/drawing/2014/main" id="{00000000-0008-0000-0A00-000007020000}"/>
            </a:ext>
          </a:extLst>
        </xdr:cNvPr>
        <xdr:cNvSpPr/>
      </xdr:nvSpPr>
      <xdr:spPr>
        <a:xfrm>
          <a:off x="11989654" y="9427765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104</xdr:row>
      <xdr:rowOff>262303</xdr:rowOff>
    </xdr:from>
    <xdr:to>
      <xdr:col>5</xdr:col>
      <xdr:colOff>493102</xdr:colOff>
      <xdr:row>104</xdr:row>
      <xdr:rowOff>414703</xdr:rowOff>
    </xdr:to>
    <xdr:sp macro="" textlink="">
      <xdr:nvSpPr>
        <xdr:cNvPr id="520" name="Rectangle 519">
          <a:extLst>
            <a:ext uri="{FF2B5EF4-FFF2-40B4-BE49-F238E27FC236}">
              <a16:creationId xmlns:a16="http://schemas.microsoft.com/office/drawing/2014/main" id="{00000000-0008-0000-0A00-000008020000}"/>
            </a:ext>
          </a:extLst>
        </xdr:cNvPr>
        <xdr:cNvSpPr/>
      </xdr:nvSpPr>
      <xdr:spPr>
        <a:xfrm>
          <a:off x="10889640" y="9317867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104</xdr:row>
      <xdr:rowOff>1672004</xdr:rowOff>
    </xdr:from>
    <xdr:to>
      <xdr:col>5</xdr:col>
      <xdr:colOff>487241</xdr:colOff>
      <xdr:row>104</xdr:row>
      <xdr:rowOff>1824404</xdr:rowOff>
    </xdr:to>
    <xdr:sp macro="" textlink="">
      <xdr:nvSpPr>
        <xdr:cNvPr id="521" name="Rectangle 520">
          <a:extLst>
            <a:ext uri="{FF2B5EF4-FFF2-40B4-BE49-F238E27FC236}">
              <a16:creationId xmlns:a16="http://schemas.microsoft.com/office/drawing/2014/main" id="{00000000-0008-0000-0A00-000009020000}"/>
            </a:ext>
          </a:extLst>
        </xdr:cNvPr>
        <xdr:cNvSpPr/>
      </xdr:nvSpPr>
      <xdr:spPr>
        <a:xfrm>
          <a:off x="10883779" y="9458837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104</xdr:row>
      <xdr:rowOff>244719</xdr:rowOff>
    </xdr:from>
    <xdr:to>
      <xdr:col>5</xdr:col>
      <xdr:colOff>2380518</xdr:colOff>
      <xdr:row>104</xdr:row>
      <xdr:rowOff>397119</xdr:rowOff>
    </xdr:to>
    <xdr:sp macro="" textlink="">
      <xdr:nvSpPr>
        <xdr:cNvPr id="522" name="Rectangle 521">
          <a:extLst>
            <a:ext uri="{FF2B5EF4-FFF2-40B4-BE49-F238E27FC236}">
              <a16:creationId xmlns:a16="http://schemas.microsoft.com/office/drawing/2014/main" id="{00000000-0008-0000-0A00-00000A020000}"/>
            </a:ext>
          </a:extLst>
        </xdr:cNvPr>
        <xdr:cNvSpPr/>
      </xdr:nvSpPr>
      <xdr:spPr>
        <a:xfrm>
          <a:off x="12777056" y="9316109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104</xdr:row>
      <xdr:rowOff>1701311</xdr:rowOff>
    </xdr:from>
    <xdr:to>
      <xdr:col>5</xdr:col>
      <xdr:colOff>2372458</xdr:colOff>
      <xdr:row>104</xdr:row>
      <xdr:rowOff>1853711</xdr:rowOff>
    </xdr:to>
    <xdr:sp macro="" textlink="">
      <xdr:nvSpPr>
        <xdr:cNvPr id="523" name="Rectangle 522">
          <a:extLst>
            <a:ext uri="{FF2B5EF4-FFF2-40B4-BE49-F238E27FC236}">
              <a16:creationId xmlns:a16="http://schemas.microsoft.com/office/drawing/2014/main" id="{00000000-0008-0000-0A00-00000B020000}"/>
            </a:ext>
          </a:extLst>
        </xdr:cNvPr>
        <xdr:cNvSpPr/>
      </xdr:nvSpPr>
      <xdr:spPr>
        <a:xfrm>
          <a:off x="12768996" y="946176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104</xdr:row>
      <xdr:rowOff>786912</xdr:rowOff>
    </xdr:from>
    <xdr:to>
      <xdr:col>5</xdr:col>
      <xdr:colOff>2305783</xdr:colOff>
      <xdr:row>104</xdr:row>
      <xdr:rowOff>845527</xdr:rowOff>
    </xdr:to>
    <xdr:sp macro="" textlink="">
      <xdr:nvSpPr>
        <xdr:cNvPr id="524" name="Rectangle 523">
          <a:extLst>
            <a:ext uri="{FF2B5EF4-FFF2-40B4-BE49-F238E27FC236}">
              <a16:creationId xmlns:a16="http://schemas.microsoft.com/office/drawing/2014/main" id="{00000000-0008-0000-0A00-00000C020000}"/>
            </a:ext>
          </a:extLst>
        </xdr:cNvPr>
        <xdr:cNvSpPr/>
      </xdr:nvSpPr>
      <xdr:spPr>
        <a:xfrm>
          <a:off x="10949721" y="9370328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104</xdr:row>
      <xdr:rowOff>262303</xdr:rowOff>
    </xdr:from>
    <xdr:to>
      <xdr:col>5</xdr:col>
      <xdr:colOff>493102</xdr:colOff>
      <xdr:row>104</xdr:row>
      <xdr:rowOff>414703</xdr:rowOff>
    </xdr:to>
    <xdr:sp macro="" textlink="">
      <xdr:nvSpPr>
        <xdr:cNvPr id="525" name="Rectangle 524">
          <a:extLst>
            <a:ext uri="{FF2B5EF4-FFF2-40B4-BE49-F238E27FC236}">
              <a16:creationId xmlns:a16="http://schemas.microsoft.com/office/drawing/2014/main" id="{00000000-0008-0000-0A00-00000D020000}"/>
            </a:ext>
          </a:extLst>
        </xdr:cNvPr>
        <xdr:cNvSpPr/>
      </xdr:nvSpPr>
      <xdr:spPr>
        <a:xfrm>
          <a:off x="10889640" y="9317867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104</xdr:row>
      <xdr:rowOff>1672004</xdr:rowOff>
    </xdr:from>
    <xdr:to>
      <xdr:col>5</xdr:col>
      <xdr:colOff>487241</xdr:colOff>
      <xdr:row>104</xdr:row>
      <xdr:rowOff>1824404</xdr:rowOff>
    </xdr:to>
    <xdr:sp macro="" textlink="">
      <xdr:nvSpPr>
        <xdr:cNvPr id="526" name="Rectangle 525">
          <a:extLst>
            <a:ext uri="{FF2B5EF4-FFF2-40B4-BE49-F238E27FC236}">
              <a16:creationId xmlns:a16="http://schemas.microsoft.com/office/drawing/2014/main" id="{00000000-0008-0000-0A00-00000E020000}"/>
            </a:ext>
          </a:extLst>
        </xdr:cNvPr>
        <xdr:cNvSpPr/>
      </xdr:nvSpPr>
      <xdr:spPr>
        <a:xfrm>
          <a:off x="10883779" y="9458837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104</xdr:row>
      <xdr:rowOff>244719</xdr:rowOff>
    </xdr:from>
    <xdr:to>
      <xdr:col>5</xdr:col>
      <xdr:colOff>2380518</xdr:colOff>
      <xdr:row>104</xdr:row>
      <xdr:rowOff>397119</xdr:rowOff>
    </xdr:to>
    <xdr:sp macro="" textlink="">
      <xdr:nvSpPr>
        <xdr:cNvPr id="527" name="Rectangle 526">
          <a:extLst>
            <a:ext uri="{FF2B5EF4-FFF2-40B4-BE49-F238E27FC236}">
              <a16:creationId xmlns:a16="http://schemas.microsoft.com/office/drawing/2014/main" id="{00000000-0008-0000-0A00-00000F020000}"/>
            </a:ext>
          </a:extLst>
        </xdr:cNvPr>
        <xdr:cNvSpPr/>
      </xdr:nvSpPr>
      <xdr:spPr>
        <a:xfrm>
          <a:off x="12777056" y="9316109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104</xdr:row>
      <xdr:rowOff>1701311</xdr:rowOff>
    </xdr:from>
    <xdr:to>
      <xdr:col>5</xdr:col>
      <xdr:colOff>2372458</xdr:colOff>
      <xdr:row>104</xdr:row>
      <xdr:rowOff>1853711</xdr:rowOff>
    </xdr:to>
    <xdr:sp macro="" textlink="">
      <xdr:nvSpPr>
        <xdr:cNvPr id="528" name="Rectangle 527">
          <a:extLst>
            <a:ext uri="{FF2B5EF4-FFF2-40B4-BE49-F238E27FC236}">
              <a16:creationId xmlns:a16="http://schemas.microsoft.com/office/drawing/2014/main" id="{00000000-0008-0000-0A00-000010020000}"/>
            </a:ext>
          </a:extLst>
        </xdr:cNvPr>
        <xdr:cNvSpPr/>
      </xdr:nvSpPr>
      <xdr:spPr>
        <a:xfrm>
          <a:off x="12768996" y="946176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104</xdr:row>
      <xdr:rowOff>1271099</xdr:rowOff>
    </xdr:from>
    <xdr:to>
      <xdr:col>5</xdr:col>
      <xdr:colOff>2301875</xdr:colOff>
      <xdr:row>104</xdr:row>
      <xdr:rowOff>1329714</xdr:rowOff>
    </xdr:to>
    <xdr:sp macro="" textlink="">
      <xdr:nvSpPr>
        <xdr:cNvPr id="529" name="Rectangle 528">
          <a:extLst>
            <a:ext uri="{FF2B5EF4-FFF2-40B4-BE49-F238E27FC236}">
              <a16:creationId xmlns:a16="http://schemas.microsoft.com/office/drawing/2014/main" id="{00000000-0008-0000-0A00-000011020000}"/>
            </a:ext>
          </a:extLst>
        </xdr:cNvPr>
        <xdr:cNvSpPr/>
      </xdr:nvSpPr>
      <xdr:spPr>
        <a:xfrm>
          <a:off x="10945813" y="94187474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105</xdr:row>
      <xdr:rowOff>262303</xdr:rowOff>
    </xdr:from>
    <xdr:to>
      <xdr:col>5</xdr:col>
      <xdr:colOff>493102</xdr:colOff>
      <xdr:row>105</xdr:row>
      <xdr:rowOff>414703</xdr:rowOff>
    </xdr:to>
    <xdr:sp macro="" textlink="">
      <xdr:nvSpPr>
        <xdr:cNvPr id="532" name="Rectangle 531">
          <a:extLst>
            <a:ext uri="{FF2B5EF4-FFF2-40B4-BE49-F238E27FC236}">
              <a16:creationId xmlns:a16="http://schemas.microsoft.com/office/drawing/2014/main" id="{00000000-0008-0000-0A00-000014020000}"/>
            </a:ext>
          </a:extLst>
        </xdr:cNvPr>
        <xdr:cNvSpPr/>
      </xdr:nvSpPr>
      <xdr:spPr>
        <a:xfrm>
          <a:off x="10889640" y="9520274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105</xdr:row>
      <xdr:rowOff>1672004</xdr:rowOff>
    </xdr:from>
    <xdr:to>
      <xdr:col>5</xdr:col>
      <xdr:colOff>487241</xdr:colOff>
      <xdr:row>105</xdr:row>
      <xdr:rowOff>1824404</xdr:rowOff>
    </xdr:to>
    <xdr:sp macro="" textlink="">
      <xdr:nvSpPr>
        <xdr:cNvPr id="533" name="Rectangle 532">
          <a:extLst>
            <a:ext uri="{FF2B5EF4-FFF2-40B4-BE49-F238E27FC236}">
              <a16:creationId xmlns:a16="http://schemas.microsoft.com/office/drawing/2014/main" id="{00000000-0008-0000-0A00-000015020000}"/>
            </a:ext>
          </a:extLst>
        </xdr:cNvPr>
        <xdr:cNvSpPr/>
      </xdr:nvSpPr>
      <xdr:spPr>
        <a:xfrm>
          <a:off x="10883779" y="966124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105</xdr:row>
      <xdr:rowOff>244719</xdr:rowOff>
    </xdr:from>
    <xdr:to>
      <xdr:col>5</xdr:col>
      <xdr:colOff>2380518</xdr:colOff>
      <xdr:row>105</xdr:row>
      <xdr:rowOff>397119</xdr:rowOff>
    </xdr:to>
    <xdr:sp macro="" textlink="">
      <xdr:nvSpPr>
        <xdr:cNvPr id="534" name="Rectangle 533">
          <a:extLst>
            <a:ext uri="{FF2B5EF4-FFF2-40B4-BE49-F238E27FC236}">
              <a16:creationId xmlns:a16="http://schemas.microsoft.com/office/drawing/2014/main" id="{00000000-0008-0000-0A00-000016020000}"/>
            </a:ext>
          </a:extLst>
        </xdr:cNvPr>
        <xdr:cNvSpPr/>
      </xdr:nvSpPr>
      <xdr:spPr>
        <a:xfrm>
          <a:off x="12777056" y="9518515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105</xdr:row>
      <xdr:rowOff>1701311</xdr:rowOff>
    </xdr:from>
    <xdr:to>
      <xdr:col>5</xdr:col>
      <xdr:colOff>2372458</xdr:colOff>
      <xdr:row>105</xdr:row>
      <xdr:rowOff>1853711</xdr:rowOff>
    </xdr:to>
    <xdr:sp macro="" textlink="">
      <xdr:nvSpPr>
        <xdr:cNvPr id="535" name="Rectangle 534">
          <a:extLst>
            <a:ext uri="{FF2B5EF4-FFF2-40B4-BE49-F238E27FC236}">
              <a16:creationId xmlns:a16="http://schemas.microsoft.com/office/drawing/2014/main" id="{00000000-0008-0000-0A00-000017020000}"/>
            </a:ext>
          </a:extLst>
        </xdr:cNvPr>
        <xdr:cNvSpPr/>
      </xdr:nvSpPr>
      <xdr:spPr>
        <a:xfrm>
          <a:off x="12768996" y="9664174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105</xdr:row>
      <xdr:rowOff>786912</xdr:rowOff>
    </xdr:from>
    <xdr:to>
      <xdr:col>5</xdr:col>
      <xdr:colOff>2305783</xdr:colOff>
      <xdr:row>105</xdr:row>
      <xdr:rowOff>845527</xdr:rowOff>
    </xdr:to>
    <xdr:sp macro="" textlink="">
      <xdr:nvSpPr>
        <xdr:cNvPr id="536" name="Rectangle 535">
          <a:extLst>
            <a:ext uri="{FF2B5EF4-FFF2-40B4-BE49-F238E27FC236}">
              <a16:creationId xmlns:a16="http://schemas.microsoft.com/office/drawing/2014/main" id="{00000000-0008-0000-0A00-000018020000}"/>
            </a:ext>
          </a:extLst>
        </xdr:cNvPr>
        <xdr:cNvSpPr/>
      </xdr:nvSpPr>
      <xdr:spPr>
        <a:xfrm>
          <a:off x="10949721" y="9572735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105</xdr:row>
      <xdr:rowOff>262303</xdr:rowOff>
    </xdr:from>
    <xdr:to>
      <xdr:col>5</xdr:col>
      <xdr:colOff>493102</xdr:colOff>
      <xdr:row>105</xdr:row>
      <xdr:rowOff>414703</xdr:rowOff>
    </xdr:to>
    <xdr:sp macro="" textlink="">
      <xdr:nvSpPr>
        <xdr:cNvPr id="537" name="Rectangle 536">
          <a:extLst>
            <a:ext uri="{FF2B5EF4-FFF2-40B4-BE49-F238E27FC236}">
              <a16:creationId xmlns:a16="http://schemas.microsoft.com/office/drawing/2014/main" id="{00000000-0008-0000-0A00-000019020000}"/>
            </a:ext>
          </a:extLst>
        </xdr:cNvPr>
        <xdr:cNvSpPr/>
      </xdr:nvSpPr>
      <xdr:spPr>
        <a:xfrm>
          <a:off x="10889640" y="9520274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105</xdr:row>
      <xdr:rowOff>1672004</xdr:rowOff>
    </xdr:from>
    <xdr:to>
      <xdr:col>5</xdr:col>
      <xdr:colOff>487241</xdr:colOff>
      <xdr:row>105</xdr:row>
      <xdr:rowOff>1824404</xdr:rowOff>
    </xdr:to>
    <xdr:sp macro="" textlink="">
      <xdr:nvSpPr>
        <xdr:cNvPr id="538" name="Rectangle 537">
          <a:extLst>
            <a:ext uri="{FF2B5EF4-FFF2-40B4-BE49-F238E27FC236}">
              <a16:creationId xmlns:a16="http://schemas.microsoft.com/office/drawing/2014/main" id="{00000000-0008-0000-0A00-00001A020000}"/>
            </a:ext>
          </a:extLst>
        </xdr:cNvPr>
        <xdr:cNvSpPr/>
      </xdr:nvSpPr>
      <xdr:spPr>
        <a:xfrm>
          <a:off x="10883779" y="966124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105</xdr:row>
      <xdr:rowOff>244719</xdr:rowOff>
    </xdr:from>
    <xdr:to>
      <xdr:col>5</xdr:col>
      <xdr:colOff>2380518</xdr:colOff>
      <xdr:row>105</xdr:row>
      <xdr:rowOff>397119</xdr:rowOff>
    </xdr:to>
    <xdr:sp macro="" textlink="">
      <xdr:nvSpPr>
        <xdr:cNvPr id="539" name="Rectangle 538">
          <a:extLst>
            <a:ext uri="{FF2B5EF4-FFF2-40B4-BE49-F238E27FC236}">
              <a16:creationId xmlns:a16="http://schemas.microsoft.com/office/drawing/2014/main" id="{00000000-0008-0000-0A00-00001B020000}"/>
            </a:ext>
          </a:extLst>
        </xdr:cNvPr>
        <xdr:cNvSpPr/>
      </xdr:nvSpPr>
      <xdr:spPr>
        <a:xfrm>
          <a:off x="12777056" y="9518515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105</xdr:row>
      <xdr:rowOff>1701311</xdr:rowOff>
    </xdr:from>
    <xdr:to>
      <xdr:col>5</xdr:col>
      <xdr:colOff>2372458</xdr:colOff>
      <xdr:row>105</xdr:row>
      <xdr:rowOff>1853711</xdr:rowOff>
    </xdr:to>
    <xdr:sp macro="" textlink="">
      <xdr:nvSpPr>
        <xdr:cNvPr id="540" name="Rectangle 539">
          <a:extLst>
            <a:ext uri="{FF2B5EF4-FFF2-40B4-BE49-F238E27FC236}">
              <a16:creationId xmlns:a16="http://schemas.microsoft.com/office/drawing/2014/main" id="{00000000-0008-0000-0A00-00001C020000}"/>
            </a:ext>
          </a:extLst>
        </xdr:cNvPr>
        <xdr:cNvSpPr/>
      </xdr:nvSpPr>
      <xdr:spPr>
        <a:xfrm>
          <a:off x="12768996" y="9664174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715473</xdr:colOff>
      <xdr:row>105</xdr:row>
      <xdr:rowOff>703385</xdr:rowOff>
    </xdr:from>
    <xdr:to>
      <xdr:col>5</xdr:col>
      <xdr:colOff>949935</xdr:colOff>
      <xdr:row>105</xdr:row>
      <xdr:rowOff>930519</xdr:rowOff>
    </xdr:to>
    <xdr:sp macro="" textlink="">
      <xdr:nvSpPr>
        <xdr:cNvPr id="541" name="Organigramme : Jonction de sommaire 540">
          <a:extLst>
            <a:ext uri="{FF2B5EF4-FFF2-40B4-BE49-F238E27FC236}">
              <a16:creationId xmlns:a16="http://schemas.microsoft.com/office/drawing/2014/main" id="{00000000-0008-0000-0A00-00001D020000}"/>
            </a:ext>
          </a:extLst>
        </xdr:cNvPr>
        <xdr:cNvSpPr/>
      </xdr:nvSpPr>
      <xdr:spPr>
        <a:xfrm>
          <a:off x="11264411" y="9564382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1749668</xdr:colOff>
      <xdr:row>105</xdr:row>
      <xdr:rowOff>710711</xdr:rowOff>
    </xdr:from>
    <xdr:to>
      <xdr:col>5</xdr:col>
      <xdr:colOff>1984130</xdr:colOff>
      <xdr:row>105</xdr:row>
      <xdr:rowOff>937845</xdr:rowOff>
    </xdr:to>
    <xdr:sp macro="" textlink="">
      <xdr:nvSpPr>
        <xdr:cNvPr id="542" name="Organigramme : Jonction de sommaire 541">
          <a:extLst>
            <a:ext uri="{FF2B5EF4-FFF2-40B4-BE49-F238E27FC236}">
              <a16:creationId xmlns:a16="http://schemas.microsoft.com/office/drawing/2014/main" id="{00000000-0008-0000-0A00-00001E020000}"/>
            </a:ext>
          </a:extLst>
        </xdr:cNvPr>
        <xdr:cNvSpPr/>
      </xdr:nvSpPr>
      <xdr:spPr>
        <a:xfrm>
          <a:off x="12298606" y="9565114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105</xdr:row>
      <xdr:rowOff>1271099</xdr:rowOff>
    </xdr:from>
    <xdr:to>
      <xdr:col>5</xdr:col>
      <xdr:colOff>2301875</xdr:colOff>
      <xdr:row>105</xdr:row>
      <xdr:rowOff>1329714</xdr:rowOff>
    </xdr:to>
    <xdr:sp macro="" textlink="">
      <xdr:nvSpPr>
        <xdr:cNvPr id="543" name="Rectangle 542">
          <a:extLst>
            <a:ext uri="{FF2B5EF4-FFF2-40B4-BE49-F238E27FC236}">
              <a16:creationId xmlns:a16="http://schemas.microsoft.com/office/drawing/2014/main" id="{00000000-0008-0000-0A00-00001F020000}"/>
            </a:ext>
          </a:extLst>
        </xdr:cNvPr>
        <xdr:cNvSpPr/>
      </xdr:nvSpPr>
      <xdr:spPr>
        <a:xfrm>
          <a:off x="10945813" y="9621153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721090</xdr:colOff>
      <xdr:row>105</xdr:row>
      <xdr:rowOff>1187572</xdr:rowOff>
    </xdr:from>
    <xdr:to>
      <xdr:col>5</xdr:col>
      <xdr:colOff>955552</xdr:colOff>
      <xdr:row>105</xdr:row>
      <xdr:rowOff>1414706</xdr:rowOff>
    </xdr:to>
    <xdr:sp macro="" textlink="">
      <xdr:nvSpPr>
        <xdr:cNvPr id="544" name="Organigramme : Jonction de sommaire 543">
          <a:extLst>
            <a:ext uri="{FF2B5EF4-FFF2-40B4-BE49-F238E27FC236}">
              <a16:creationId xmlns:a16="http://schemas.microsoft.com/office/drawing/2014/main" id="{00000000-0008-0000-0A00-000020020000}"/>
            </a:ext>
          </a:extLst>
        </xdr:cNvPr>
        <xdr:cNvSpPr/>
      </xdr:nvSpPr>
      <xdr:spPr>
        <a:xfrm>
          <a:off x="11270028" y="961280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1764810</xdr:colOff>
      <xdr:row>105</xdr:row>
      <xdr:rowOff>1185373</xdr:rowOff>
    </xdr:from>
    <xdr:to>
      <xdr:col>5</xdr:col>
      <xdr:colOff>1999272</xdr:colOff>
      <xdr:row>105</xdr:row>
      <xdr:rowOff>1412507</xdr:rowOff>
    </xdr:to>
    <xdr:sp macro="" textlink="">
      <xdr:nvSpPr>
        <xdr:cNvPr id="545" name="Organigramme : Jonction de sommaire 544">
          <a:extLst>
            <a:ext uri="{FF2B5EF4-FFF2-40B4-BE49-F238E27FC236}">
              <a16:creationId xmlns:a16="http://schemas.microsoft.com/office/drawing/2014/main" id="{00000000-0008-0000-0A00-000021020000}"/>
            </a:ext>
          </a:extLst>
        </xdr:cNvPr>
        <xdr:cNvSpPr/>
      </xdr:nvSpPr>
      <xdr:spPr>
        <a:xfrm>
          <a:off x="12313748" y="9612581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106</xdr:row>
      <xdr:rowOff>262303</xdr:rowOff>
    </xdr:from>
    <xdr:to>
      <xdr:col>5</xdr:col>
      <xdr:colOff>493102</xdr:colOff>
      <xdr:row>106</xdr:row>
      <xdr:rowOff>414703</xdr:rowOff>
    </xdr:to>
    <xdr:sp macro="" textlink="">
      <xdr:nvSpPr>
        <xdr:cNvPr id="546" name="Rectangle 545">
          <a:extLst>
            <a:ext uri="{FF2B5EF4-FFF2-40B4-BE49-F238E27FC236}">
              <a16:creationId xmlns:a16="http://schemas.microsoft.com/office/drawing/2014/main" id="{00000000-0008-0000-0A00-000022020000}"/>
            </a:ext>
          </a:extLst>
        </xdr:cNvPr>
        <xdr:cNvSpPr/>
      </xdr:nvSpPr>
      <xdr:spPr>
        <a:xfrm>
          <a:off x="10889640" y="972268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106</xdr:row>
      <xdr:rowOff>1672004</xdr:rowOff>
    </xdr:from>
    <xdr:to>
      <xdr:col>5</xdr:col>
      <xdr:colOff>487241</xdr:colOff>
      <xdr:row>106</xdr:row>
      <xdr:rowOff>1824404</xdr:rowOff>
    </xdr:to>
    <xdr:sp macro="" textlink="">
      <xdr:nvSpPr>
        <xdr:cNvPr id="547" name="Rectangle 546">
          <a:extLst>
            <a:ext uri="{FF2B5EF4-FFF2-40B4-BE49-F238E27FC236}">
              <a16:creationId xmlns:a16="http://schemas.microsoft.com/office/drawing/2014/main" id="{00000000-0008-0000-0A00-000023020000}"/>
            </a:ext>
          </a:extLst>
        </xdr:cNvPr>
        <xdr:cNvSpPr/>
      </xdr:nvSpPr>
      <xdr:spPr>
        <a:xfrm>
          <a:off x="10883779" y="986365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106</xdr:row>
      <xdr:rowOff>244719</xdr:rowOff>
    </xdr:from>
    <xdr:to>
      <xdr:col>5</xdr:col>
      <xdr:colOff>2380518</xdr:colOff>
      <xdr:row>106</xdr:row>
      <xdr:rowOff>397119</xdr:rowOff>
    </xdr:to>
    <xdr:sp macro="" textlink="">
      <xdr:nvSpPr>
        <xdr:cNvPr id="548" name="Rectangle 547">
          <a:extLst>
            <a:ext uri="{FF2B5EF4-FFF2-40B4-BE49-F238E27FC236}">
              <a16:creationId xmlns:a16="http://schemas.microsoft.com/office/drawing/2014/main" id="{00000000-0008-0000-0A00-000024020000}"/>
            </a:ext>
          </a:extLst>
        </xdr:cNvPr>
        <xdr:cNvSpPr/>
      </xdr:nvSpPr>
      <xdr:spPr>
        <a:xfrm>
          <a:off x="12777056" y="972092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106</xdr:row>
      <xdr:rowOff>1701311</xdr:rowOff>
    </xdr:from>
    <xdr:to>
      <xdr:col>5</xdr:col>
      <xdr:colOff>2372458</xdr:colOff>
      <xdr:row>106</xdr:row>
      <xdr:rowOff>1853711</xdr:rowOff>
    </xdr:to>
    <xdr:sp macro="" textlink="">
      <xdr:nvSpPr>
        <xdr:cNvPr id="549" name="Rectangle 548">
          <a:extLst>
            <a:ext uri="{FF2B5EF4-FFF2-40B4-BE49-F238E27FC236}">
              <a16:creationId xmlns:a16="http://schemas.microsoft.com/office/drawing/2014/main" id="{00000000-0008-0000-0A00-000025020000}"/>
            </a:ext>
          </a:extLst>
        </xdr:cNvPr>
        <xdr:cNvSpPr/>
      </xdr:nvSpPr>
      <xdr:spPr>
        <a:xfrm>
          <a:off x="12768996" y="986658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106</xdr:row>
      <xdr:rowOff>786912</xdr:rowOff>
    </xdr:from>
    <xdr:to>
      <xdr:col>5</xdr:col>
      <xdr:colOff>2305783</xdr:colOff>
      <xdr:row>106</xdr:row>
      <xdr:rowOff>845527</xdr:rowOff>
    </xdr:to>
    <xdr:sp macro="" textlink="">
      <xdr:nvSpPr>
        <xdr:cNvPr id="550" name="Rectangle 549">
          <a:extLst>
            <a:ext uri="{FF2B5EF4-FFF2-40B4-BE49-F238E27FC236}">
              <a16:creationId xmlns:a16="http://schemas.microsoft.com/office/drawing/2014/main" id="{00000000-0008-0000-0A00-000026020000}"/>
            </a:ext>
          </a:extLst>
        </xdr:cNvPr>
        <xdr:cNvSpPr/>
      </xdr:nvSpPr>
      <xdr:spPr>
        <a:xfrm>
          <a:off x="10949721" y="977514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106</xdr:row>
      <xdr:rowOff>262303</xdr:rowOff>
    </xdr:from>
    <xdr:to>
      <xdr:col>5</xdr:col>
      <xdr:colOff>493102</xdr:colOff>
      <xdr:row>106</xdr:row>
      <xdr:rowOff>414703</xdr:rowOff>
    </xdr:to>
    <xdr:sp macro="" textlink="">
      <xdr:nvSpPr>
        <xdr:cNvPr id="551" name="Rectangle 550">
          <a:extLst>
            <a:ext uri="{FF2B5EF4-FFF2-40B4-BE49-F238E27FC236}">
              <a16:creationId xmlns:a16="http://schemas.microsoft.com/office/drawing/2014/main" id="{00000000-0008-0000-0A00-000027020000}"/>
            </a:ext>
          </a:extLst>
        </xdr:cNvPr>
        <xdr:cNvSpPr/>
      </xdr:nvSpPr>
      <xdr:spPr>
        <a:xfrm>
          <a:off x="10889640" y="972268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106</xdr:row>
      <xdr:rowOff>1672004</xdr:rowOff>
    </xdr:from>
    <xdr:to>
      <xdr:col>5</xdr:col>
      <xdr:colOff>487241</xdr:colOff>
      <xdr:row>106</xdr:row>
      <xdr:rowOff>1824404</xdr:rowOff>
    </xdr:to>
    <xdr:sp macro="" textlink="">
      <xdr:nvSpPr>
        <xdr:cNvPr id="552" name="Rectangle 551">
          <a:extLst>
            <a:ext uri="{FF2B5EF4-FFF2-40B4-BE49-F238E27FC236}">
              <a16:creationId xmlns:a16="http://schemas.microsoft.com/office/drawing/2014/main" id="{00000000-0008-0000-0A00-000028020000}"/>
            </a:ext>
          </a:extLst>
        </xdr:cNvPr>
        <xdr:cNvSpPr/>
      </xdr:nvSpPr>
      <xdr:spPr>
        <a:xfrm>
          <a:off x="10883779" y="986365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106</xdr:row>
      <xdr:rowOff>244719</xdr:rowOff>
    </xdr:from>
    <xdr:to>
      <xdr:col>5</xdr:col>
      <xdr:colOff>2380518</xdr:colOff>
      <xdr:row>106</xdr:row>
      <xdr:rowOff>397119</xdr:rowOff>
    </xdr:to>
    <xdr:sp macro="" textlink="">
      <xdr:nvSpPr>
        <xdr:cNvPr id="553" name="Rectangle 552">
          <a:extLst>
            <a:ext uri="{FF2B5EF4-FFF2-40B4-BE49-F238E27FC236}">
              <a16:creationId xmlns:a16="http://schemas.microsoft.com/office/drawing/2014/main" id="{00000000-0008-0000-0A00-000029020000}"/>
            </a:ext>
          </a:extLst>
        </xdr:cNvPr>
        <xdr:cNvSpPr/>
      </xdr:nvSpPr>
      <xdr:spPr>
        <a:xfrm>
          <a:off x="12777056" y="972092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106</xdr:row>
      <xdr:rowOff>1701311</xdr:rowOff>
    </xdr:from>
    <xdr:to>
      <xdr:col>5</xdr:col>
      <xdr:colOff>2372458</xdr:colOff>
      <xdr:row>106</xdr:row>
      <xdr:rowOff>1853711</xdr:rowOff>
    </xdr:to>
    <xdr:sp macro="" textlink="">
      <xdr:nvSpPr>
        <xdr:cNvPr id="554" name="Rectangle 553">
          <a:extLst>
            <a:ext uri="{FF2B5EF4-FFF2-40B4-BE49-F238E27FC236}">
              <a16:creationId xmlns:a16="http://schemas.microsoft.com/office/drawing/2014/main" id="{00000000-0008-0000-0A00-00002A020000}"/>
            </a:ext>
          </a:extLst>
        </xdr:cNvPr>
        <xdr:cNvSpPr/>
      </xdr:nvSpPr>
      <xdr:spPr>
        <a:xfrm>
          <a:off x="12768996" y="986658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591648</xdr:colOff>
      <xdr:row>106</xdr:row>
      <xdr:rowOff>703385</xdr:rowOff>
    </xdr:from>
    <xdr:to>
      <xdr:col>5</xdr:col>
      <xdr:colOff>826110</xdr:colOff>
      <xdr:row>106</xdr:row>
      <xdr:rowOff>930519</xdr:rowOff>
    </xdr:to>
    <xdr:sp macro="" textlink="">
      <xdr:nvSpPr>
        <xdr:cNvPr id="555" name="Organigramme : Jonction de sommaire 554">
          <a:extLst>
            <a:ext uri="{FF2B5EF4-FFF2-40B4-BE49-F238E27FC236}">
              <a16:creationId xmlns:a16="http://schemas.microsoft.com/office/drawing/2014/main" id="{00000000-0008-0000-0A00-00002B020000}"/>
            </a:ext>
          </a:extLst>
        </xdr:cNvPr>
        <xdr:cNvSpPr/>
      </xdr:nvSpPr>
      <xdr:spPr>
        <a:xfrm>
          <a:off x="11140586" y="976678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1883018</xdr:colOff>
      <xdr:row>106</xdr:row>
      <xdr:rowOff>710711</xdr:rowOff>
    </xdr:from>
    <xdr:to>
      <xdr:col>5</xdr:col>
      <xdr:colOff>2117480</xdr:colOff>
      <xdr:row>106</xdr:row>
      <xdr:rowOff>937845</xdr:rowOff>
    </xdr:to>
    <xdr:sp macro="" textlink="">
      <xdr:nvSpPr>
        <xdr:cNvPr id="556" name="Organigramme : Jonction de sommaire 555">
          <a:extLst>
            <a:ext uri="{FF2B5EF4-FFF2-40B4-BE49-F238E27FC236}">
              <a16:creationId xmlns:a16="http://schemas.microsoft.com/office/drawing/2014/main" id="{00000000-0008-0000-0A00-00002C020000}"/>
            </a:ext>
          </a:extLst>
        </xdr:cNvPr>
        <xdr:cNvSpPr/>
      </xdr:nvSpPr>
      <xdr:spPr>
        <a:xfrm>
          <a:off x="12431956" y="9767521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1012031</xdr:colOff>
      <xdr:row>106</xdr:row>
      <xdr:rowOff>690563</xdr:rowOff>
    </xdr:from>
    <xdr:to>
      <xdr:col>5</xdr:col>
      <xdr:colOff>1246493</xdr:colOff>
      <xdr:row>106</xdr:row>
      <xdr:rowOff>917697</xdr:rowOff>
    </xdr:to>
    <xdr:sp macro="" textlink="">
      <xdr:nvSpPr>
        <xdr:cNvPr id="557" name="Organigramme : Jonction de sommaire 556">
          <a:extLst>
            <a:ext uri="{FF2B5EF4-FFF2-40B4-BE49-F238E27FC236}">
              <a16:creationId xmlns:a16="http://schemas.microsoft.com/office/drawing/2014/main" id="{00000000-0008-0000-0A00-00002D020000}"/>
            </a:ext>
          </a:extLst>
        </xdr:cNvPr>
        <xdr:cNvSpPr/>
      </xdr:nvSpPr>
      <xdr:spPr>
        <a:xfrm>
          <a:off x="11560969" y="9765506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1452562</xdr:colOff>
      <xdr:row>106</xdr:row>
      <xdr:rowOff>702468</xdr:rowOff>
    </xdr:from>
    <xdr:to>
      <xdr:col>5</xdr:col>
      <xdr:colOff>1687024</xdr:colOff>
      <xdr:row>106</xdr:row>
      <xdr:rowOff>929602</xdr:rowOff>
    </xdr:to>
    <xdr:sp macro="" textlink="">
      <xdr:nvSpPr>
        <xdr:cNvPr id="558" name="Organigramme : Jonction de sommaire 557">
          <a:extLst>
            <a:ext uri="{FF2B5EF4-FFF2-40B4-BE49-F238E27FC236}">
              <a16:creationId xmlns:a16="http://schemas.microsoft.com/office/drawing/2014/main" id="{00000000-0008-0000-0A00-00002E020000}"/>
            </a:ext>
          </a:extLst>
        </xdr:cNvPr>
        <xdr:cNvSpPr/>
      </xdr:nvSpPr>
      <xdr:spPr>
        <a:xfrm>
          <a:off x="12001500" y="976669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106</xdr:row>
      <xdr:rowOff>1271099</xdr:rowOff>
    </xdr:from>
    <xdr:to>
      <xdr:col>5</xdr:col>
      <xdr:colOff>2301875</xdr:colOff>
      <xdr:row>106</xdr:row>
      <xdr:rowOff>1329714</xdr:rowOff>
    </xdr:to>
    <xdr:sp macro="" textlink="">
      <xdr:nvSpPr>
        <xdr:cNvPr id="559" name="Rectangle 558">
          <a:extLst>
            <a:ext uri="{FF2B5EF4-FFF2-40B4-BE49-F238E27FC236}">
              <a16:creationId xmlns:a16="http://schemas.microsoft.com/office/drawing/2014/main" id="{00000000-0008-0000-0A00-00002F020000}"/>
            </a:ext>
          </a:extLst>
        </xdr:cNvPr>
        <xdr:cNvSpPr/>
      </xdr:nvSpPr>
      <xdr:spPr>
        <a:xfrm>
          <a:off x="10945813" y="9823559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587740</xdr:colOff>
      <xdr:row>106</xdr:row>
      <xdr:rowOff>1187572</xdr:rowOff>
    </xdr:from>
    <xdr:to>
      <xdr:col>5</xdr:col>
      <xdr:colOff>822202</xdr:colOff>
      <xdr:row>106</xdr:row>
      <xdr:rowOff>1414706</xdr:rowOff>
    </xdr:to>
    <xdr:sp macro="" textlink="">
      <xdr:nvSpPr>
        <xdr:cNvPr id="560" name="Organigramme : Jonction de sommaire 559">
          <a:extLst>
            <a:ext uri="{FF2B5EF4-FFF2-40B4-BE49-F238E27FC236}">
              <a16:creationId xmlns:a16="http://schemas.microsoft.com/office/drawing/2014/main" id="{00000000-0008-0000-0A00-000030020000}"/>
            </a:ext>
          </a:extLst>
        </xdr:cNvPr>
        <xdr:cNvSpPr/>
      </xdr:nvSpPr>
      <xdr:spPr>
        <a:xfrm>
          <a:off x="11136678" y="9815207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1879110</xdr:colOff>
      <xdr:row>106</xdr:row>
      <xdr:rowOff>1194898</xdr:rowOff>
    </xdr:from>
    <xdr:to>
      <xdr:col>5</xdr:col>
      <xdr:colOff>2113572</xdr:colOff>
      <xdr:row>106</xdr:row>
      <xdr:rowOff>1422032</xdr:rowOff>
    </xdr:to>
    <xdr:sp macro="" textlink="">
      <xdr:nvSpPr>
        <xdr:cNvPr id="561" name="Organigramme : Jonction de sommaire 560">
          <a:extLst>
            <a:ext uri="{FF2B5EF4-FFF2-40B4-BE49-F238E27FC236}">
              <a16:creationId xmlns:a16="http://schemas.microsoft.com/office/drawing/2014/main" id="{00000000-0008-0000-0A00-000031020000}"/>
            </a:ext>
          </a:extLst>
        </xdr:cNvPr>
        <xdr:cNvSpPr/>
      </xdr:nvSpPr>
      <xdr:spPr>
        <a:xfrm>
          <a:off x="12428048" y="981593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1008123</xdr:colOff>
      <xdr:row>106</xdr:row>
      <xdr:rowOff>1174750</xdr:rowOff>
    </xdr:from>
    <xdr:to>
      <xdr:col>5</xdr:col>
      <xdr:colOff>1242585</xdr:colOff>
      <xdr:row>106</xdr:row>
      <xdr:rowOff>1401884</xdr:rowOff>
    </xdr:to>
    <xdr:sp macro="" textlink="">
      <xdr:nvSpPr>
        <xdr:cNvPr id="562" name="Organigramme : Jonction de sommaire 561">
          <a:extLst>
            <a:ext uri="{FF2B5EF4-FFF2-40B4-BE49-F238E27FC236}">
              <a16:creationId xmlns:a16="http://schemas.microsoft.com/office/drawing/2014/main" id="{00000000-0008-0000-0A00-000032020000}"/>
            </a:ext>
          </a:extLst>
        </xdr:cNvPr>
        <xdr:cNvSpPr/>
      </xdr:nvSpPr>
      <xdr:spPr>
        <a:xfrm>
          <a:off x="11557061" y="9813925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1448654</xdr:colOff>
      <xdr:row>106</xdr:row>
      <xdr:rowOff>1186655</xdr:rowOff>
    </xdr:from>
    <xdr:to>
      <xdr:col>5</xdr:col>
      <xdr:colOff>1683116</xdr:colOff>
      <xdr:row>106</xdr:row>
      <xdr:rowOff>1413789</xdr:rowOff>
    </xdr:to>
    <xdr:sp macro="" textlink="">
      <xdr:nvSpPr>
        <xdr:cNvPr id="563" name="Organigramme : Jonction de sommaire 562">
          <a:extLst>
            <a:ext uri="{FF2B5EF4-FFF2-40B4-BE49-F238E27FC236}">
              <a16:creationId xmlns:a16="http://schemas.microsoft.com/office/drawing/2014/main" id="{00000000-0008-0000-0A00-000033020000}"/>
            </a:ext>
          </a:extLst>
        </xdr:cNvPr>
        <xdr:cNvSpPr/>
      </xdr:nvSpPr>
      <xdr:spPr>
        <a:xfrm>
          <a:off x="11997592" y="9815115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504825</xdr:colOff>
      <xdr:row>107</xdr:row>
      <xdr:rowOff>276225</xdr:rowOff>
    </xdr:from>
    <xdr:to>
      <xdr:col>5</xdr:col>
      <xdr:colOff>2219325</xdr:colOff>
      <xdr:row>107</xdr:row>
      <xdr:rowOff>285750</xdr:rowOff>
    </xdr:to>
    <xdr:cxnSp macro="">
      <xdr:nvCxnSpPr>
        <xdr:cNvPr id="564" name="Connecteur droit 563">
          <a:extLst>
            <a:ext uri="{FF2B5EF4-FFF2-40B4-BE49-F238E27FC236}">
              <a16:creationId xmlns:a16="http://schemas.microsoft.com/office/drawing/2014/main" id="{00000000-0008-0000-0A00-000034020000}"/>
            </a:ext>
          </a:extLst>
        </xdr:cNvPr>
        <xdr:cNvCxnSpPr/>
      </xdr:nvCxnSpPr>
      <xdr:spPr>
        <a:xfrm flipV="1">
          <a:off x="11053763" y="99264788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107</xdr:row>
      <xdr:rowOff>1814145</xdr:rowOff>
    </xdr:from>
    <xdr:to>
      <xdr:col>5</xdr:col>
      <xdr:colOff>2203205</xdr:colOff>
      <xdr:row>107</xdr:row>
      <xdr:rowOff>1827333</xdr:rowOff>
    </xdr:to>
    <xdr:cxnSp macro="">
      <xdr:nvCxnSpPr>
        <xdr:cNvPr id="565" name="Connecteur droit 564">
          <a:extLst>
            <a:ext uri="{FF2B5EF4-FFF2-40B4-BE49-F238E27FC236}">
              <a16:creationId xmlns:a16="http://schemas.microsoft.com/office/drawing/2014/main" id="{00000000-0008-0000-0A00-000035020000}"/>
            </a:ext>
          </a:extLst>
        </xdr:cNvPr>
        <xdr:cNvCxnSpPr/>
      </xdr:nvCxnSpPr>
      <xdr:spPr>
        <a:xfrm>
          <a:off x="11014198" y="100802708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107</xdr:row>
      <xdr:rowOff>262303</xdr:rowOff>
    </xdr:from>
    <xdr:to>
      <xdr:col>5</xdr:col>
      <xdr:colOff>493102</xdr:colOff>
      <xdr:row>107</xdr:row>
      <xdr:rowOff>414703</xdr:rowOff>
    </xdr:to>
    <xdr:sp macro="" textlink="">
      <xdr:nvSpPr>
        <xdr:cNvPr id="566" name="Rectangle 565">
          <a:extLst>
            <a:ext uri="{FF2B5EF4-FFF2-40B4-BE49-F238E27FC236}">
              <a16:creationId xmlns:a16="http://schemas.microsoft.com/office/drawing/2014/main" id="{00000000-0008-0000-0A00-000036020000}"/>
            </a:ext>
          </a:extLst>
        </xdr:cNvPr>
        <xdr:cNvSpPr/>
      </xdr:nvSpPr>
      <xdr:spPr>
        <a:xfrm>
          <a:off x="10889640" y="9925086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107</xdr:row>
      <xdr:rowOff>1672004</xdr:rowOff>
    </xdr:from>
    <xdr:to>
      <xdr:col>5</xdr:col>
      <xdr:colOff>487241</xdr:colOff>
      <xdr:row>107</xdr:row>
      <xdr:rowOff>1824404</xdr:rowOff>
    </xdr:to>
    <xdr:sp macro="" textlink="">
      <xdr:nvSpPr>
        <xdr:cNvPr id="567" name="Rectangle 566">
          <a:extLst>
            <a:ext uri="{FF2B5EF4-FFF2-40B4-BE49-F238E27FC236}">
              <a16:creationId xmlns:a16="http://schemas.microsoft.com/office/drawing/2014/main" id="{00000000-0008-0000-0A00-000037020000}"/>
            </a:ext>
          </a:extLst>
        </xdr:cNvPr>
        <xdr:cNvSpPr/>
      </xdr:nvSpPr>
      <xdr:spPr>
        <a:xfrm>
          <a:off x="10883779" y="10066056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107</xdr:row>
      <xdr:rowOff>244719</xdr:rowOff>
    </xdr:from>
    <xdr:to>
      <xdr:col>5</xdr:col>
      <xdr:colOff>2380518</xdr:colOff>
      <xdr:row>107</xdr:row>
      <xdr:rowOff>397119</xdr:rowOff>
    </xdr:to>
    <xdr:sp macro="" textlink="">
      <xdr:nvSpPr>
        <xdr:cNvPr id="568" name="Rectangle 567">
          <a:extLst>
            <a:ext uri="{FF2B5EF4-FFF2-40B4-BE49-F238E27FC236}">
              <a16:creationId xmlns:a16="http://schemas.microsoft.com/office/drawing/2014/main" id="{00000000-0008-0000-0A00-000038020000}"/>
            </a:ext>
          </a:extLst>
        </xdr:cNvPr>
        <xdr:cNvSpPr/>
      </xdr:nvSpPr>
      <xdr:spPr>
        <a:xfrm>
          <a:off x="12777056" y="9923328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107</xdr:row>
      <xdr:rowOff>1701311</xdr:rowOff>
    </xdr:from>
    <xdr:to>
      <xdr:col>5</xdr:col>
      <xdr:colOff>2372458</xdr:colOff>
      <xdr:row>107</xdr:row>
      <xdr:rowOff>1853711</xdr:rowOff>
    </xdr:to>
    <xdr:sp macro="" textlink="">
      <xdr:nvSpPr>
        <xdr:cNvPr id="569" name="Rectangle 568">
          <a:extLst>
            <a:ext uri="{FF2B5EF4-FFF2-40B4-BE49-F238E27FC236}">
              <a16:creationId xmlns:a16="http://schemas.microsoft.com/office/drawing/2014/main" id="{00000000-0008-0000-0A00-000039020000}"/>
            </a:ext>
          </a:extLst>
        </xdr:cNvPr>
        <xdr:cNvSpPr/>
      </xdr:nvSpPr>
      <xdr:spPr>
        <a:xfrm>
          <a:off x="12768996" y="10068987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107</xdr:row>
      <xdr:rowOff>786912</xdr:rowOff>
    </xdr:from>
    <xdr:to>
      <xdr:col>5</xdr:col>
      <xdr:colOff>2305783</xdr:colOff>
      <xdr:row>107</xdr:row>
      <xdr:rowOff>845527</xdr:rowOff>
    </xdr:to>
    <xdr:sp macro="" textlink="">
      <xdr:nvSpPr>
        <xdr:cNvPr id="570" name="Rectangle 569">
          <a:extLst>
            <a:ext uri="{FF2B5EF4-FFF2-40B4-BE49-F238E27FC236}">
              <a16:creationId xmlns:a16="http://schemas.microsoft.com/office/drawing/2014/main" id="{00000000-0008-0000-0A00-00003A020000}"/>
            </a:ext>
          </a:extLst>
        </xdr:cNvPr>
        <xdr:cNvSpPr/>
      </xdr:nvSpPr>
      <xdr:spPr>
        <a:xfrm>
          <a:off x="10949721" y="99775475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2352675</xdr:colOff>
      <xdr:row>107</xdr:row>
      <xdr:rowOff>381732</xdr:rowOff>
    </xdr:from>
    <xdr:to>
      <xdr:col>5</xdr:col>
      <xdr:colOff>2360737</xdr:colOff>
      <xdr:row>107</xdr:row>
      <xdr:rowOff>1685925</xdr:rowOff>
    </xdr:to>
    <xdr:cxnSp macro="">
      <xdr:nvCxnSpPr>
        <xdr:cNvPr id="571" name="Connecteur droit 570">
          <a:extLst>
            <a:ext uri="{FF2B5EF4-FFF2-40B4-BE49-F238E27FC236}">
              <a16:creationId xmlns:a16="http://schemas.microsoft.com/office/drawing/2014/main" id="{00000000-0008-0000-0A00-00003B020000}"/>
            </a:ext>
          </a:extLst>
        </xdr:cNvPr>
        <xdr:cNvCxnSpPr/>
      </xdr:nvCxnSpPr>
      <xdr:spPr>
        <a:xfrm flipH="1">
          <a:off x="12901613" y="99370295"/>
          <a:ext cx="8062" cy="1304193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107</xdr:row>
      <xdr:rowOff>276225</xdr:rowOff>
    </xdr:from>
    <xdr:to>
      <xdr:col>5</xdr:col>
      <xdr:colOff>2219325</xdr:colOff>
      <xdr:row>107</xdr:row>
      <xdr:rowOff>285750</xdr:rowOff>
    </xdr:to>
    <xdr:cxnSp macro="">
      <xdr:nvCxnSpPr>
        <xdr:cNvPr id="572" name="Connecteur droit 571">
          <a:extLst>
            <a:ext uri="{FF2B5EF4-FFF2-40B4-BE49-F238E27FC236}">
              <a16:creationId xmlns:a16="http://schemas.microsoft.com/office/drawing/2014/main" id="{00000000-0008-0000-0A00-00003C020000}"/>
            </a:ext>
          </a:extLst>
        </xdr:cNvPr>
        <xdr:cNvCxnSpPr/>
      </xdr:nvCxnSpPr>
      <xdr:spPr>
        <a:xfrm flipV="1">
          <a:off x="11053763" y="99264788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107</xdr:row>
      <xdr:rowOff>1814145</xdr:rowOff>
    </xdr:from>
    <xdr:to>
      <xdr:col>5</xdr:col>
      <xdr:colOff>2203205</xdr:colOff>
      <xdr:row>107</xdr:row>
      <xdr:rowOff>1827333</xdr:rowOff>
    </xdr:to>
    <xdr:cxnSp macro="">
      <xdr:nvCxnSpPr>
        <xdr:cNvPr id="573" name="Connecteur droit 572">
          <a:extLst>
            <a:ext uri="{FF2B5EF4-FFF2-40B4-BE49-F238E27FC236}">
              <a16:creationId xmlns:a16="http://schemas.microsoft.com/office/drawing/2014/main" id="{00000000-0008-0000-0A00-00003D020000}"/>
            </a:ext>
          </a:extLst>
        </xdr:cNvPr>
        <xdr:cNvCxnSpPr/>
      </xdr:nvCxnSpPr>
      <xdr:spPr>
        <a:xfrm>
          <a:off x="11014198" y="100802708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107</xdr:row>
      <xdr:rowOff>262303</xdr:rowOff>
    </xdr:from>
    <xdr:to>
      <xdr:col>5</xdr:col>
      <xdr:colOff>493102</xdr:colOff>
      <xdr:row>107</xdr:row>
      <xdr:rowOff>414703</xdr:rowOff>
    </xdr:to>
    <xdr:sp macro="" textlink="">
      <xdr:nvSpPr>
        <xdr:cNvPr id="574" name="Rectangle 573">
          <a:extLst>
            <a:ext uri="{FF2B5EF4-FFF2-40B4-BE49-F238E27FC236}">
              <a16:creationId xmlns:a16="http://schemas.microsoft.com/office/drawing/2014/main" id="{00000000-0008-0000-0A00-00003E020000}"/>
            </a:ext>
          </a:extLst>
        </xdr:cNvPr>
        <xdr:cNvSpPr/>
      </xdr:nvSpPr>
      <xdr:spPr>
        <a:xfrm>
          <a:off x="10889640" y="9925086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107</xdr:row>
      <xdr:rowOff>1672004</xdr:rowOff>
    </xdr:from>
    <xdr:to>
      <xdr:col>5</xdr:col>
      <xdr:colOff>487241</xdr:colOff>
      <xdr:row>107</xdr:row>
      <xdr:rowOff>1824404</xdr:rowOff>
    </xdr:to>
    <xdr:sp macro="" textlink="">
      <xdr:nvSpPr>
        <xdr:cNvPr id="575" name="Rectangle 574">
          <a:extLst>
            <a:ext uri="{FF2B5EF4-FFF2-40B4-BE49-F238E27FC236}">
              <a16:creationId xmlns:a16="http://schemas.microsoft.com/office/drawing/2014/main" id="{00000000-0008-0000-0A00-00003F020000}"/>
            </a:ext>
          </a:extLst>
        </xdr:cNvPr>
        <xdr:cNvSpPr/>
      </xdr:nvSpPr>
      <xdr:spPr>
        <a:xfrm>
          <a:off x="10883779" y="10066056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107</xdr:row>
      <xdr:rowOff>244719</xdr:rowOff>
    </xdr:from>
    <xdr:to>
      <xdr:col>5</xdr:col>
      <xdr:colOff>2380518</xdr:colOff>
      <xdr:row>107</xdr:row>
      <xdr:rowOff>397119</xdr:rowOff>
    </xdr:to>
    <xdr:sp macro="" textlink="">
      <xdr:nvSpPr>
        <xdr:cNvPr id="576" name="Rectangle 575">
          <a:extLst>
            <a:ext uri="{FF2B5EF4-FFF2-40B4-BE49-F238E27FC236}">
              <a16:creationId xmlns:a16="http://schemas.microsoft.com/office/drawing/2014/main" id="{00000000-0008-0000-0A00-000040020000}"/>
            </a:ext>
          </a:extLst>
        </xdr:cNvPr>
        <xdr:cNvSpPr/>
      </xdr:nvSpPr>
      <xdr:spPr>
        <a:xfrm>
          <a:off x="12777056" y="9923328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107</xdr:row>
      <xdr:rowOff>1701311</xdr:rowOff>
    </xdr:from>
    <xdr:to>
      <xdr:col>5</xdr:col>
      <xdr:colOff>2372458</xdr:colOff>
      <xdr:row>107</xdr:row>
      <xdr:rowOff>1853711</xdr:rowOff>
    </xdr:to>
    <xdr:sp macro="" textlink="">
      <xdr:nvSpPr>
        <xdr:cNvPr id="577" name="Rectangle 576">
          <a:extLst>
            <a:ext uri="{FF2B5EF4-FFF2-40B4-BE49-F238E27FC236}">
              <a16:creationId xmlns:a16="http://schemas.microsoft.com/office/drawing/2014/main" id="{00000000-0008-0000-0A00-000041020000}"/>
            </a:ext>
          </a:extLst>
        </xdr:cNvPr>
        <xdr:cNvSpPr/>
      </xdr:nvSpPr>
      <xdr:spPr>
        <a:xfrm>
          <a:off x="12768996" y="10068987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349250</xdr:colOff>
      <xdr:row>107</xdr:row>
      <xdr:rowOff>428625</xdr:rowOff>
    </xdr:from>
    <xdr:to>
      <xdr:col>5</xdr:col>
      <xdr:colOff>357312</xdr:colOff>
      <xdr:row>107</xdr:row>
      <xdr:rowOff>1643063</xdr:rowOff>
    </xdr:to>
    <xdr:cxnSp macro="">
      <xdr:nvCxnSpPr>
        <xdr:cNvPr id="578" name="Connecteur droit 577">
          <a:extLst>
            <a:ext uri="{FF2B5EF4-FFF2-40B4-BE49-F238E27FC236}">
              <a16:creationId xmlns:a16="http://schemas.microsoft.com/office/drawing/2014/main" id="{00000000-0008-0000-0A00-000042020000}"/>
            </a:ext>
          </a:extLst>
        </xdr:cNvPr>
        <xdr:cNvCxnSpPr/>
      </xdr:nvCxnSpPr>
      <xdr:spPr>
        <a:xfrm flipH="1">
          <a:off x="10898188" y="99417188"/>
          <a:ext cx="8062" cy="121443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396875</xdr:colOff>
      <xdr:row>107</xdr:row>
      <xdr:rowOff>1271099</xdr:rowOff>
    </xdr:from>
    <xdr:to>
      <xdr:col>5</xdr:col>
      <xdr:colOff>2301875</xdr:colOff>
      <xdr:row>107</xdr:row>
      <xdr:rowOff>1329714</xdr:rowOff>
    </xdr:to>
    <xdr:sp macro="" textlink="">
      <xdr:nvSpPr>
        <xdr:cNvPr id="579" name="Rectangle 578">
          <a:extLst>
            <a:ext uri="{FF2B5EF4-FFF2-40B4-BE49-F238E27FC236}">
              <a16:creationId xmlns:a16="http://schemas.microsoft.com/office/drawing/2014/main" id="{00000000-0008-0000-0A00-000043020000}"/>
            </a:ext>
          </a:extLst>
        </xdr:cNvPr>
        <xdr:cNvSpPr/>
      </xdr:nvSpPr>
      <xdr:spPr>
        <a:xfrm>
          <a:off x="10945813" y="10025966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504825</xdr:colOff>
      <xdr:row>108</xdr:row>
      <xdr:rowOff>276225</xdr:rowOff>
    </xdr:from>
    <xdr:to>
      <xdr:col>5</xdr:col>
      <xdr:colOff>2219325</xdr:colOff>
      <xdr:row>108</xdr:row>
      <xdr:rowOff>285750</xdr:rowOff>
    </xdr:to>
    <xdr:cxnSp macro="">
      <xdr:nvCxnSpPr>
        <xdr:cNvPr id="580" name="Connecteur droit 579">
          <a:extLst>
            <a:ext uri="{FF2B5EF4-FFF2-40B4-BE49-F238E27FC236}">
              <a16:creationId xmlns:a16="http://schemas.microsoft.com/office/drawing/2014/main" id="{00000000-0008-0000-0A00-000044020000}"/>
            </a:ext>
          </a:extLst>
        </xdr:cNvPr>
        <xdr:cNvCxnSpPr/>
      </xdr:nvCxnSpPr>
      <xdr:spPr>
        <a:xfrm flipV="1">
          <a:off x="11053763" y="101288850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108</xdr:row>
      <xdr:rowOff>1814145</xdr:rowOff>
    </xdr:from>
    <xdr:to>
      <xdr:col>5</xdr:col>
      <xdr:colOff>2203205</xdr:colOff>
      <xdr:row>108</xdr:row>
      <xdr:rowOff>1827333</xdr:rowOff>
    </xdr:to>
    <xdr:cxnSp macro="">
      <xdr:nvCxnSpPr>
        <xdr:cNvPr id="581" name="Connecteur droit 580">
          <a:extLst>
            <a:ext uri="{FF2B5EF4-FFF2-40B4-BE49-F238E27FC236}">
              <a16:creationId xmlns:a16="http://schemas.microsoft.com/office/drawing/2014/main" id="{00000000-0008-0000-0A00-000045020000}"/>
            </a:ext>
          </a:extLst>
        </xdr:cNvPr>
        <xdr:cNvCxnSpPr/>
      </xdr:nvCxnSpPr>
      <xdr:spPr>
        <a:xfrm>
          <a:off x="11014198" y="102826770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108</xdr:row>
      <xdr:rowOff>262303</xdr:rowOff>
    </xdr:from>
    <xdr:to>
      <xdr:col>5</xdr:col>
      <xdr:colOff>493102</xdr:colOff>
      <xdr:row>108</xdr:row>
      <xdr:rowOff>414703</xdr:rowOff>
    </xdr:to>
    <xdr:sp macro="" textlink="">
      <xdr:nvSpPr>
        <xdr:cNvPr id="582" name="Rectangle 581">
          <a:extLst>
            <a:ext uri="{FF2B5EF4-FFF2-40B4-BE49-F238E27FC236}">
              <a16:creationId xmlns:a16="http://schemas.microsoft.com/office/drawing/2014/main" id="{00000000-0008-0000-0A00-000046020000}"/>
            </a:ext>
          </a:extLst>
        </xdr:cNvPr>
        <xdr:cNvSpPr/>
      </xdr:nvSpPr>
      <xdr:spPr>
        <a:xfrm>
          <a:off x="10889640" y="10127492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108</xdr:row>
      <xdr:rowOff>1672004</xdr:rowOff>
    </xdr:from>
    <xdr:to>
      <xdr:col>5</xdr:col>
      <xdr:colOff>487241</xdr:colOff>
      <xdr:row>108</xdr:row>
      <xdr:rowOff>1824404</xdr:rowOff>
    </xdr:to>
    <xdr:sp macro="" textlink="">
      <xdr:nvSpPr>
        <xdr:cNvPr id="583" name="Rectangle 582">
          <a:extLst>
            <a:ext uri="{FF2B5EF4-FFF2-40B4-BE49-F238E27FC236}">
              <a16:creationId xmlns:a16="http://schemas.microsoft.com/office/drawing/2014/main" id="{00000000-0008-0000-0A00-000047020000}"/>
            </a:ext>
          </a:extLst>
        </xdr:cNvPr>
        <xdr:cNvSpPr/>
      </xdr:nvSpPr>
      <xdr:spPr>
        <a:xfrm>
          <a:off x="10883779" y="10268462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108</xdr:row>
      <xdr:rowOff>244719</xdr:rowOff>
    </xdr:from>
    <xdr:to>
      <xdr:col>5</xdr:col>
      <xdr:colOff>2380518</xdr:colOff>
      <xdr:row>108</xdr:row>
      <xdr:rowOff>397119</xdr:rowOff>
    </xdr:to>
    <xdr:sp macro="" textlink="">
      <xdr:nvSpPr>
        <xdr:cNvPr id="584" name="Rectangle 583">
          <a:extLst>
            <a:ext uri="{FF2B5EF4-FFF2-40B4-BE49-F238E27FC236}">
              <a16:creationId xmlns:a16="http://schemas.microsoft.com/office/drawing/2014/main" id="{00000000-0008-0000-0A00-000048020000}"/>
            </a:ext>
          </a:extLst>
        </xdr:cNvPr>
        <xdr:cNvSpPr/>
      </xdr:nvSpPr>
      <xdr:spPr>
        <a:xfrm>
          <a:off x="12777056" y="10125734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108</xdr:row>
      <xdr:rowOff>1701311</xdr:rowOff>
    </xdr:from>
    <xdr:to>
      <xdr:col>5</xdr:col>
      <xdr:colOff>2372458</xdr:colOff>
      <xdr:row>108</xdr:row>
      <xdr:rowOff>1853711</xdr:rowOff>
    </xdr:to>
    <xdr:sp macro="" textlink="">
      <xdr:nvSpPr>
        <xdr:cNvPr id="585" name="Rectangle 584">
          <a:extLst>
            <a:ext uri="{FF2B5EF4-FFF2-40B4-BE49-F238E27FC236}">
              <a16:creationId xmlns:a16="http://schemas.microsoft.com/office/drawing/2014/main" id="{00000000-0008-0000-0A00-000049020000}"/>
            </a:ext>
          </a:extLst>
        </xdr:cNvPr>
        <xdr:cNvSpPr/>
      </xdr:nvSpPr>
      <xdr:spPr>
        <a:xfrm>
          <a:off x="12768996" y="10271393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108</xdr:row>
      <xdr:rowOff>786912</xdr:rowOff>
    </xdr:from>
    <xdr:to>
      <xdr:col>5</xdr:col>
      <xdr:colOff>2305783</xdr:colOff>
      <xdr:row>108</xdr:row>
      <xdr:rowOff>845527</xdr:rowOff>
    </xdr:to>
    <xdr:sp macro="" textlink="">
      <xdr:nvSpPr>
        <xdr:cNvPr id="586" name="Rectangle 585">
          <a:extLst>
            <a:ext uri="{FF2B5EF4-FFF2-40B4-BE49-F238E27FC236}">
              <a16:creationId xmlns:a16="http://schemas.microsoft.com/office/drawing/2014/main" id="{00000000-0008-0000-0A00-00004A020000}"/>
            </a:ext>
          </a:extLst>
        </xdr:cNvPr>
        <xdr:cNvSpPr/>
      </xdr:nvSpPr>
      <xdr:spPr>
        <a:xfrm>
          <a:off x="10949721" y="10179953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2352675</xdr:colOff>
      <xdr:row>108</xdr:row>
      <xdr:rowOff>381732</xdr:rowOff>
    </xdr:from>
    <xdr:to>
      <xdr:col>5</xdr:col>
      <xdr:colOff>2360737</xdr:colOff>
      <xdr:row>108</xdr:row>
      <xdr:rowOff>1685925</xdr:rowOff>
    </xdr:to>
    <xdr:cxnSp macro="">
      <xdr:nvCxnSpPr>
        <xdr:cNvPr id="587" name="Connecteur droit 586">
          <a:extLst>
            <a:ext uri="{FF2B5EF4-FFF2-40B4-BE49-F238E27FC236}">
              <a16:creationId xmlns:a16="http://schemas.microsoft.com/office/drawing/2014/main" id="{00000000-0008-0000-0A00-00004B020000}"/>
            </a:ext>
          </a:extLst>
        </xdr:cNvPr>
        <xdr:cNvCxnSpPr/>
      </xdr:nvCxnSpPr>
      <xdr:spPr>
        <a:xfrm flipH="1">
          <a:off x="12901613" y="101394357"/>
          <a:ext cx="8062" cy="1304193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108</xdr:row>
      <xdr:rowOff>276225</xdr:rowOff>
    </xdr:from>
    <xdr:to>
      <xdr:col>5</xdr:col>
      <xdr:colOff>2219325</xdr:colOff>
      <xdr:row>108</xdr:row>
      <xdr:rowOff>285750</xdr:rowOff>
    </xdr:to>
    <xdr:cxnSp macro="">
      <xdr:nvCxnSpPr>
        <xdr:cNvPr id="588" name="Connecteur droit 587">
          <a:extLst>
            <a:ext uri="{FF2B5EF4-FFF2-40B4-BE49-F238E27FC236}">
              <a16:creationId xmlns:a16="http://schemas.microsoft.com/office/drawing/2014/main" id="{00000000-0008-0000-0A00-00004C020000}"/>
            </a:ext>
          </a:extLst>
        </xdr:cNvPr>
        <xdr:cNvCxnSpPr/>
      </xdr:nvCxnSpPr>
      <xdr:spPr>
        <a:xfrm flipV="1">
          <a:off x="11053763" y="101288850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108</xdr:row>
      <xdr:rowOff>1814145</xdr:rowOff>
    </xdr:from>
    <xdr:to>
      <xdr:col>5</xdr:col>
      <xdr:colOff>2203205</xdr:colOff>
      <xdr:row>108</xdr:row>
      <xdr:rowOff>1827333</xdr:rowOff>
    </xdr:to>
    <xdr:cxnSp macro="">
      <xdr:nvCxnSpPr>
        <xdr:cNvPr id="589" name="Connecteur droit 588">
          <a:extLst>
            <a:ext uri="{FF2B5EF4-FFF2-40B4-BE49-F238E27FC236}">
              <a16:creationId xmlns:a16="http://schemas.microsoft.com/office/drawing/2014/main" id="{00000000-0008-0000-0A00-00004D020000}"/>
            </a:ext>
          </a:extLst>
        </xdr:cNvPr>
        <xdr:cNvCxnSpPr/>
      </xdr:nvCxnSpPr>
      <xdr:spPr>
        <a:xfrm>
          <a:off x="11014198" y="102826770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108</xdr:row>
      <xdr:rowOff>262303</xdr:rowOff>
    </xdr:from>
    <xdr:to>
      <xdr:col>5</xdr:col>
      <xdr:colOff>493102</xdr:colOff>
      <xdr:row>108</xdr:row>
      <xdr:rowOff>414703</xdr:rowOff>
    </xdr:to>
    <xdr:sp macro="" textlink="">
      <xdr:nvSpPr>
        <xdr:cNvPr id="590" name="Rectangle 589">
          <a:extLst>
            <a:ext uri="{FF2B5EF4-FFF2-40B4-BE49-F238E27FC236}">
              <a16:creationId xmlns:a16="http://schemas.microsoft.com/office/drawing/2014/main" id="{00000000-0008-0000-0A00-00004E020000}"/>
            </a:ext>
          </a:extLst>
        </xdr:cNvPr>
        <xdr:cNvSpPr/>
      </xdr:nvSpPr>
      <xdr:spPr>
        <a:xfrm>
          <a:off x="10889640" y="10127492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108</xdr:row>
      <xdr:rowOff>1672004</xdr:rowOff>
    </xdr:from>
    <xdr:to>
      <xdr:col>5</xdr:col>
      <xdr:colOff>487241</xdr:colOff>
      <xdr:row>108</xdr:row>
      <xdr:rowOff>1824404</xdr:rowOff>
    </xdr:to>
    <xdr:sp macro="" textlink="">
      <xdr:nvSpPr>
        <xdr:cNvPr id="591" name="Rectangle 590">
          <a:extLst>
            <a:ext uri="{FF2B5EF4-FFF2-40B4-BE49-F238E27FC236}">
              <a16:creationId xmlns:a16="http://schemas.microsoft.com/office/drawing/2014/main" id="{00000000-0008-0000-0A00-00004F020000}"/>
            </a:ext>
          </a:extLst>
        </xdr:cNvPr>
        <xdr:cNvSpPr/>
      </xdr:nvSpPr>
      <xdr:spPr>
        <a:xfrm>
          <a:off x="10883779" y="10268462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108</xdr:row>
      <xdr:rowOff>244719</xdr:rowOff>
    </xdr:from>
    <xdr:to>
      <xdr:col>5</xdr:col>
      <xdr:colOff>2380518</xdr:colOff>
      <xdr:row>108</xdr:row>
      <xdr:rowOff>397119</xdr:rowOff>
    </xdr:to>
    <xdr:sp macro="" textlink="">
      <xdr:nvSpPr>
        <xdr:cNvPr id="592" name="Rectangle 591">
          <a:extLst>
            <a:ext uri="{FF2B5EF4-FFF2-40B4-BE49-F238E27FC236}">
              <a16:creationId xmlns:a16="http://schemas.microsoft.com/office/drawing/2014/main" id="{00000000-0008-0000-0A00-000050020000}"/>
            </a:ext>
          </a:extLst>
        </xdr:cNvPr>
        <xdr:cNvSpPr/>
      </xdr:nvSpPr>
      <xdr:spPr>
        <a:xfrm>
          <a:off x="12777056" y="10125734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108</xdr:row>
      <xdr:rowOff>1701311</xdr:rowOff>
    </xdr:from>
    <xdr:to>
      <xdr:col>5</xdr:col>
      <xdr:colOff>2372458</xdr:colOff>
      <xdr:row>108</xdr:row>
      <xdr:rowOff>1853711</xdr:rowOff>
    </xdr:to>
    <xdr:sp macro="" textlink="">
      <xdr:nvSpPr>
        <xdr:cNvPr id="593" name="Rectangle 592">
          <a:extLst>
            <a:ext uri="{FF2B5EF4-FFF2-40B4-BE49-F238E27FC236}">
              <a16:creationId xmlns:a16="http://schemas.microsoft.com/office/drawing/2014/main" id="{00000000-0008-0000-0A00-000051020000}"/>
            </a:ext>
          </a:extLst>
        </xdr:cNvPr>
        <xdr:cNvSpPr/>
      </xdr:nvSpPr>
      <xdr:spPr>
        <a:xfrm>
          <a:off x="12768996" y="10271393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715473</xdr:colOff>
      <xdr:row>108</xdr:row>
      <xdr:rowOff>693860</xdr:rowOff>
    </xdr:from>
    <xdr:to>
      <xdr:col>5</xdr:col>
      <xdr:colOff>949935</xdr:colOff>
      <xdr:row>108</xdr:row>
      <xdr:rowOff>920994</xdr:rowOff>
    </xdr:to>
    <xdr:sp macro="" textlink="">
      <xdr:nvSpPr>
        <xdr:cNvPr id="594" name="Organigramme : Jonction de sommaire 593">
          <a:extLst>
            <a:ext uri="{FF2B5EF4-FFF2-40B4-BE49-F238E27FC236}">
              <a16:creationId xmlns:a16="http://schemas.microsoft.com/office/drawing/2014/main" id="{00000000-0008-0000-0A00-000052020000}"/>
            </a:ext>
          </a:extLst>
        </xdr:cNvPr>
        <xdr:cNvSpPr/>
      </xdr:nvSpPr>
      <xdr:spPr>
        <a:xfrm>
          <a:off x="11264411" y="1017064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1740143</xdr:colOff>
      <xdr:row>108</xdr:row>
      <xdr:rowOff>710711</xdr:rowOff>
    </xdr:from>
    <xdr:to>
      <xdr:col>5</xdr:col>
      <xdr:colOff>1974605</xdr:colOff>
      <xdr:row>108</xdr:row>
      <xdr:rowOff>937845</xdr:rowOff>
    </xdr:to>
    <xdr:sp macro="" textlink="">
      <xdr:nvSpPr>
        <xdr:cNvPr id="595" name="Organigramme : Jonction de sommaire 594">
          <a:extLst>
            <a:ext uri="{FF2B5EF4-FFF2-40B4-BE49-F238E27FC236}">
              <a16:creationId xmlns:a16="http://schemas.microsoft.com/office/drawing/2014/main" id="{00000000-0008-0000-0A00-000053020000}"/>
            </a:ext>
          </a:extLst>
        </xdr:cNvPr>
        <xdr:cNvSpPr/>
      </xdr:nvSpPr>
      <xdr:spPr>
        <a:xfrm>
          <a:off x="12289081" y="10172333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349250</xdr:colOff>
      <xdr:row>108</xdr:row>
      <xdr:rowOff>428625</xdr:rowOff>
    </xdr:from>
    <xdr:to>
      <xdr:col>5</xdr:col>
      <xdr:colOff>357312</xdr:colOff>
      <xdr:row>108</xdr:row>
      <xdr:rowOff>1643063</xdr:rowOff>
    </xdr:to>
    <xdr:cxnSp macro="">
      <xdr:nvCxnSpPr>
        <xdr:cNvPr id="596" name="Connecteur droit 595">
          <a:extLst>
            <a:ext uri="{FF2B5EF4-FFF2-40B4-BE49-F238E27FC236}">
              <a16:creationId xmlns:a16="http://schemas.microsoft.com/office/drawing/2014/main" id="{00000000-0008-0000-0A00-000054020000}"/>
            </a:ext>
          </a:extLst>
        </xdr:cNvPr>
        <xdr:cNvCxnSpPr/>
      </xdr:nvCxnSpPr>
      <xdr:spPr>
        <a:xfrm flipH="1">
          <a:off x="10898188" y="101441250"/>
          <a:ext cx="8062" cy="121443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396875</xdr:colOff>
      <xdr:row>108</xdr:row>
      <xdr:rowOff>1271099</xdr:rowOff>
    </xdr:from>
    <xdr:to>
      <xdr:col>5</xdr:col>
      <xdr:colOff>2301875</xdr:colOff>
      <xdr:row>108</xdr:row>
      <xdr:rowOff>1329714</xdr:rowOff>
    </xdr:to>
    <xdr:sp macro="" textlink="">
      <xdr:nvSpPr>
        <xdr:cNvPr id="597" name="Rectangle 596">
          <a:extLst>
            <a:ext uri="{FF2B5EF4-FFF2-40B4-BE49-F238E27FC236}">
              <a16:creationId xmlns:a16="http://schemas.microsoft.com/office/drawing/2014/main" id="{00000000-0008-0000-0A00-000055020000}"/>
            </a:ext>
          </a:extLst>
        </xdr:cNvPr>
        <xdr:cNvSpPr/>
      </xdr:nvSpPr>
      <xdr:spPr>
        <a:xfrm>
          <a:off x="10945813" y="102283724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730615</xdr:colOff>
      <xdr:row>108</xdr:row>
      <xdr:rowOff>1178047</xdr:rowOff>
    </xdr:from>
    <xdr:to>
      <xdr:col>5</xdr:col>
      <xdr:colOff>965077</xdr:colOff>
      <xdr:row>108</xdr:row>
      <xdr:rowOff>1405181</xdr:rowOff>
    </xdr:to>
    <xdr:sp macro="" textlink="">
      <xdr:nvSpPr>
        <xdr:cNvPr id="598" name="Organigramme : Jonction de sommaire 597">
          <a:extLst>
            <a:ext uri="{FF2B5EF4-FFF2-40B4-BE49-F238E27FC236}">
              <a16:creationId xmlns:a16="http://schemas.microsoft.com/office/drawing/2014/main" id="{00000000-0008-0000-0A00-000056020000}"/>
            </a:ext>
          </a:extLst>
        </xdr:cNvPr>
        <xdr:cNvSpPr/>
      </xdr:nvSpPr>
      <xdr:spPr>
        <a:xfrm>
          <a:off x="11279553" y="10219067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1736235</xdr:colOff>
      <xdr:row>108</xdr:row>
      <xdr:rowOff>1194898</xdr:rowOff>
    </xdr:from>
    <xdr:to>
      <xdr:col>5</xdr:col>
      <xdr:colOff>1970697</xdr:colOff>
      <xdr:row>108</xdr:row>
      <xdr:rowOff>1422032</xdr:rowOff>
    </xdr:to>
    <xdr:sp macro="" textlink="">
      <xdr:nvSpPr>
        <xdr:cNvPr id="599" name="Organigramme : Jonction de sommaire 598">
          <a:extLst>
            <a:ext uri="{FF2B5EF4-FFF2-40B4-BE49-F238E27FC236}">
              <a16:creationId xmlns:a16="http://schemas.microsoft.com/office/drawing/2014/main" id="{00000000-0008-0000-0A00-000057020000}"/>
            </a:ext>
          </a:extLst>
        </xdr:cNvPr>
        <xdr:cNvSpPr/>
      </xdr:nvSpPr>
      <xdr:spPr>
        <a:xfrm>
          <a:off x="12285173" y="10220752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504825</xdr:colOff>
      <xdr:row>109</xdr:row>
      <xdr:rowOff>276225</xdr:rowOff>
    </xdr:from>
    <xdr:to>
      <xdr:col>5</xdr:col>
      <xdr:colOff>2219325</xdr:colOff>
      <xdr:row>109</xdr:row>
      <xdr:rowOff>285750</xdr:rowOff>
    </xdr:to>
    <xdr:cxnSp macro="">
      <xdr:nvCxnSpPr>
        <xdr:cNvPr id="600" name="Connecteur droit 599">
          <a:extLst>
            <a:ext uri="{FF2B5EF4-FFF2-40B4-BE49-F238E27FC236}">
              <a16:creationId xmlns:a16="http://schemas.microsoft.com/office/drawing/2014/main" id="{00000000-0008-0000-0A00-000058020000}"/>
            </a:ext>
          </a:extLst>
        </xdr:cNvPr>
        <xdr:cNvCxnSpPr/>
      </xdr:nvCxnSpPr>
      <xdr:spPr>
        <a:xfrm flipV="1">
          <a:off x="11053763" y="103312913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109</xdr:row>
      <xdr:rowOff>1814145</xdr:rowOff>
    </xdr:from>
    <xdr:to>
      <xdr:col>5</xdr:col>
      <xdr:colOff>2203205</xdr:colOff>
      <xdr:row>109</xdr:row>
      <xdr:rowOff>1827333</xdr:rowOff>
    </xdr:to>
    <xdr:cxnSp macro="">
      <xdr:nvCxnSpPr>
        <xdr:cNvPr id="601" name="Connecteur droit 600">
          <a:extLst>
            <a:ext uri="{FF2B5EF4-FFF2-40B4-BE49-F238E27FC236}">
              <a16:creationId xmlns:a16="http://schemas.microsoft.com/office/drawing/2014/main" id="{00000000-0008-0000-0A00-000059020000}"/>
            </a:ext>
          </a:extLst>
        </xdr:cNvPr>
        <xdr:cNvCxnSpPr/>
      </xdr:nvCxnSpPr>
      <xdr:spPr>
        <a:xfrm>
          <a:off x="11014198" y="104850833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109</xdr:row>
      <xdr:rowOff>262303</xdr:rowOff>
    </xdr:from>
    <xdr:to>
      <xdr:col>5</xdr:col>
      <xdr:colOff>493102</xdr:colOff>
      <xdr:row>109</xdr:row>
      <xdr:rowOff>414703</xdr:rowOff>
    </xdr:to>
    <xdr:sp macro="" textlink="">
      <xdr:nvSpPr>
        <xdr:cNvPr id="602" name="Rectangle 601">
          <a:extLst>
            <a:ext uri="{FF2B5EF4-FFF2-40B4-BE49-F238E27FC236}">
              <a16:creationId xmlns:a16="http://schemas.microsoft.com/office/drawing/2014/main" id="{00000000-0008-0000-0A00-00005A020000}"/>
            </a:ext>
          </a:extLst>
        </xdr:cNvPr>
        <xdr:cNvSpPr/>
      </xdr:nvSpPr>
      <xdr:spPr>
        <a:xfrm>
          <a:off x="10889640" y="10329899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109</xdr:row>
      <xdr:rowOff>1672004</xdr:rowOff>
    </xdr:from>
    <xdr:to>
      <xdr:col>5</xdr:col>
      <xdr:colOff>487241</xdr:colOff>
      <xdr:row>109</xdr:row>
      <xdr:rowOff>1824404</xdr:rowOff>
    </xdr:to>
    <xdr:sp macro="" textlink="">
      <xdr:nvSpPr>
        <xdr:cNvPr id="603" name="Rectangle 602">
          <a:extLst>
            <a:ext uri="{FF2B5EF4-FFF2-40B4-BE49-F238E27FC236}">
              <a16:creationId xmlns:a16="http://schemas.microsoft.com/office/drawing/2014/main" id="{00000000-0008-0000-0A00-00005B020000}"/>
            </a:ext>
          </a:extLst>
        </xdr:cNvPr>
        <xdr:cNvSpPr/>
      </xdr:nvSpPr>
      <xdr:spPr>
        <a:xfrm>
          <a:off x="10883779" y="1047086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109</xdr:row>
      <xdr:rowOff>244719</xdr:rowOff>
    </xdr:from>
    <xdr:to>
      <xdr:col>5</xdr:col>
      <xdr:colOff>2380518</xdr:colOff>
      <xdr:row>109</xdr:row>
      <xdr:rowOff>397119</xdr:rowOff>
    </xdr:to>
    <xdr:sp macro="" textlink="">
      <xdr:nvSpPr>
        <xdr:cNvPr id="604" name="Rectangle 603">
          <a:extLst>
            <a:ext uri="{FF2B5EF4-FFF2-40B4-BE49-F238E27FC236}">
              <a16:creationId xmlns:a16="http://schemas.microsoft.com/office/drawing/2014/main" id="{00000000-0008-0000-0A00-00005C020000}"/>
            </a:ext>
          </a:extLst>
        </xdr:cNvPr>
        <xdr:cNvSpPr/>
      </xdr:nvSpPr>
      <xdr:spPr>
        <a:xfrm>
          <a:off x="12777056" y="10328140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109</xdr:row>
      <xdr:rowOff>1701311</xdr:rowOff>
    </xdr:from>
    <xdr:to>
      <xdr:col>5</xdr:col>
      <xdr:colOff>2372458</xdr:colOff>
      <xdr:row>109</xdr:row>
      <xdr:rowOff>1853711</xdr:rowOff>
    </xdr:to>
    <xdr:sp macro="" textlink="">
      <xdr:nvSpPr>
        <xdr:cNvPr id="605" name="Rectangle 604">
          <a:extLst>
            <a:ext uri="{FF2B5EF4-FFF2-40B4-BE49-F238E27FC236}">
              <a16:creationId xmlns:a16="http://schemas.microsoft.com/office/drawing/2014/main" id="{00000000-0008-0000-0A00-00005D020000}"/>
            </a:ext>
          </a:extLst>
        </xdr:cNvPr>
        <xdr:cNvSpPr/>
      </xdr:nvSpPr>
      <xdr:spPr>
        <a:xfrm>
          <a:off x="12768996" y="1047379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109</xdr:row>
      <xdr:rowOff>786912</xdr:rowOff>
    </xdr:from>
    <xdr:to>
      <xdr:col>5</xdr:col>
      <xdr:colOff>2305783</xdr:colOff>
      <xdr:row>109</xdr:row>
      <xdr:rowOff>845527</xdr:rowOff>
    </xdr:to>
    <xdr:sp macro="" textlink="">
      <xdr:nvSpPr>
        <xdr:cNvPr id="606" name="Rectangle 605">
          <a:extLst>
            <a:ext uri="{FF2B5EF4-FFF2-40B4-BE49-F238E27FC236}">
              <a16:creationId xmlns:a16="http://schemas.microsoft.com/office/drawing/2014/main" id="{00000000-0008-0000-0A00-00005E020000}"/>
            </a:ext>
          </a:extLst>
        </xdr:cNvPr>
        <xdr:cNvSpPr/>
      </xdr:nvSpPr>
      <xdr:spPr>
        <a:xfrm>
          <a:off x="10949721" y="10382360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2352675</xdr:colOff>
      <xdr:row>109</xdr:row>
      <xdr:rowOff>381732</xdr:rowOff>
    </xdr:from>
    <xdr:to>
      <xdr:col>5</xdr:col>
      <xdr:colOff>2360737</xdr:colOff>
      <xdr:row>109</xdr:row>
      <xdr:rowOff>1685925</xdr:rowOff>
    </xdr:to>
    <xdr:cxnSp macro="">
      <xdr:nvCxnSpPr>
        <xdr:cNvPr id="607" name="Connecteur droit 606">
          <a:extLst>
            <a:ext uri="{FF2B5EF4-FFF2-40B4-BE49-F238E27FC236}">
              <a16:creationId xmlns:a16="http://schemas.microsoft.com/office/drawing/2014/main" id="{00000000-0008-0000-0A00-00005F020000}"/>
            </a:ext>
          </a:extLst>
        </xdr:cNvPr>
        <xdr:cNvCxnSpPr/>
      </xdr:nvCxnSpPr>
      <xdr:spPr>
        <a:xfrm flipH="1">
          <a:off x="12901613" y="103418420"/>
          <a:ext cx="8062" cy="1304193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109</xdr:row>
      <xdr:rowOff>276225</xdr:rowOff>
    </xdr:from>
    <xdr:to>
      <xdr:col>5</xdr:col>
      <xdr:colOff>2219325</xdr:colOff>
      <xdr:row>109</xdr:row>
      <xdr:rowOff>285750</xdr:rowOff>
    </xdr:to>
    <xdr:cxnSp macro="">
      <xdr:nvCxnSpPr>
        <xdr:cNvPr id="608" name="Connecteur droit 607">
          <a:extLst>
            <a:ext uri="{FF2B5EF4-FFF2-40B4-BE49-F238E27FC236}">
              <a16:creationId xmlns:a16="http://schemas.microsoft.com/office/drawing/2014/main" id="{00000000-0008-0000-0A00-000060020000}"/>
            </a:ext>
          </a:extLst>
        </xdr:cNvPr>
        <xdr:cNvCxnSpPr/>
      </xdr:nvCxnSpPr>
      <xdr:spPr>
        <a:xfrm flipV="1">
          <a:off x="11053763" y="103312913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465260</xdr:colOff>
      <xdr:row>109</xdr:row>
      <xdr:rowOff>1814145</xdr:rowOff>
    </xdr:from>
    <xdr:to>
      <xdr:col>5</xdr:col>
      <xdr:colOff>2203205</xdr:colOff>
      <xdr:row>109</xdr:row>
      <xdr:rowOff>1827333</xdr:rowOff>
    </xdr:to>
    <xdr:cxnSp macro="">
      <xdr:nvCxnSpPr>
        <xdr:cNvPr id="609" name="Connecteur droit 608">
          <a:extLst>
            <a:ext uri="{FF2B5EF4-FFF2-40B4-BE49-F238E27FC236}">
              <a16:creationId xmlns:a16="http://schemas.microsoft.com/office/drawing/2014/main" id="{00000000-0008-0000-0A00-000061020000}"/>
            </a:ext>
          </a:extLst>
        </xdr:cNvPr>
        <xdr:cNvCxnSpPr/>
      </xdr:nvCxnSpPr>
      <xdr:spPr>
        <a:xfrm>
          <a:off x="11014198" y="104850833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340702</xdr:colOff>
      <xdr:row>109</xdr:row>
      <xdr:rowOff>262303</xdr:rowOff>
    </xdr:from>
    <xdr:to>
      <xdr:col>5</xdr:col>
      <xdr:colOff>493102</xdr:colOff>
      <xdr:row>109</xdr:row>
      <xdr:rowOff>414703</xdr:rowOff>
    </xdr:to>
    <xdr:sp macro="" textlink="">
      <xdr:nvSpPr>
        <xdr:cNvPr id="610" name="Rectangle 609">
          <a:extLst>
            <a:ext uri="{FF2B5EF4-FFF2-40B4-BE49-F238E27FC236}">
              <a16:creationId xmlns:a16="http://schemas.microsoft.com/office/drawing/2014/main" id="{00000000-0008-0000-0A00-000062020000}"/>
            </a:ext>
          </a:extLst>
        </xdr:cNvPr>
        <xdr:cNvSpPr/>
      </xdr:nvSpPr>
      <xdr:spPr>
        <a:xfrm>
          <a:off x="10889640" y="10329899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109</xdr:row>
      <xdr:rowOff>1672004</xdr:rowOff>
    </xdr:from>
    <xdr:to>
      <xdr:col>5</xdr:col>
      <xdr:colOff>487241</xdr:colOff>
      <xdr:row>109</xdr:row>
      <xdr:rowOff>1824404</xdr:rowOff>
    </xdr:to>
    <xdr:sp macro="" textlink="">
      <xdr:nvSpPr>
        <xdr:cNvPr id="611" name="Rectangle 610">
          <a:extLst>
            <a:ext uri="{FF2B5EF4-FFF2-40B4-BE49-F238E27FC236}">
              <a16:creationId xmlns:a16="http://schemas.microsoft.com/office/drawing/2014/main" id="{00000000-0008-0000-0A00-000063020000}"/>
            </a:ext>
          </a:extLst>
        </xdr:cNvPr>
        <xdr:cNvSpPr/>
      </xdr:nvSpPr>
      <xdr:spPr>
        <a:xfrm>
          <a:off x="10883779" y="1047086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109</xdr:row>
      <xdr:rowOff>244719</xdr:rowOff>
    </xdr:from>
    <xdr:to>
      <xdr:col>5</xdr:col>
      <xdr:colOff>2380518</xdr:colOff>
      <xdr:row>109</xdr:row>
      <xdr:rowOff>397119</xdr:rowOff>
    </xdr:to>
    <xdr:sp macro="" textlink="">
      <xdr:nvSpPr>
        <xdr:cNvPr id="612" name="Rectangle 611">
          <a:extLst>
            <a:ext uri="{FF2B5EF4-FFF2-40B4-BE49-F238E27FC236}">
              <a16:creationId xmlns:a16="http://schemas.microsoft.com/office/drawing/2014/main" id="{00000000-0008-0000-0A00-000064020000}"/>
            </a:ext>
          </a:extLst>
        </xdr:cNvPr>
        <xdr:cNvSpPr/>
      </xdr:nvSpPr>
      <xdr:spPr>
        <a:xfrm>
          <a:off x="12777056" y="10328140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109</xdr:row>
      <xdr:rowOff>1701311</xdr:rowOff>
    </xdr:from>
    <xdr:to>
      <xdr:col>5</xdr:col>
      <xdr:colOff>2372458</xdr:colOff>
      <xdr:row>109</xdr:row>
      <xdr:rowOff>1853711</xdr:rowOff>
    </xdr:to>
    <xdr:sp macro="" textlink="">
      <xdr:nvSpPr>
        <xdr:cNvPr id="613" name="Rectangle 612">
          <a:extLst>
            <a:ext uri="{FF2B5EF4-FFF2-40B4-BE49-F238E27FC236}">
              <a16:creationId xmlns:a16="http://schemas.microsoft.com/office/drawing/2014/main" id="{00000000-0008-0000-0A00-000065020000}"/>
            </a:ext>
          </a:extLst>
        </xdr:cNvPr>
        <xdr:cNvSpPr/>
      </xdr:nvSpPr>
      <xdr:spPr>
        <a:xfrm>
          <a:off x="12768996" y="1047379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591648</xdr:colOff>
      <xdr:row>109</xdr:row>
      <xdr:rowOff>703385</xdr:rowOff>
    </xdr:from>
    <xdr:to>
      <xdr:col>5</xdr:col>
      <xdr:colOff>826110</xdr:colOff>
      <xdr:row>109</xdr:row>
      <xdr:rowOff>930519</xdr:rowOff>
    </xdr:to>
    <xdr:sp macro="" textlink="">
      <xdr:nvSpPr>
        <xdr:cNvPr id="614" name="Organigramme : Jonction de sommaire 613">
          <a:extLst>
            <a:ext uri="{FF2B5EF4-FFF2-40B4-BE49-F238E27FC236}">
              <a16:creationId xmlns:a16="http://schemas.microsoft.com/office/drawing/2014/main" id="{00000000-0008-0000-0A00-000066020000}"/>
            </a:ext>
          </a:extLst>
        </xdr:cNvPr>
        <xdr:cNvSpPr/>
      </xdr:nvSpPr>
      <xdr:spPr>
        <a:xfrm>
          <a:off x="11140586" y="1037400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1883018</xdr:colOff>
      <xdr:row>109</xdr:row>
      <xdr:rowOff>710711</xdr:rowOff>
    </xdr:from>
    <xdr:to>
      <xdr:col>5</xdr:col>
      <xdr:colOff>2117480</xdr:colOff>
      <xdr:row>109</xdr:row>
      <xdr:rowOff>937845</xdr:rowOff>
    </xdr:to>
    <xdr:sp macro="" textlink="">
      <xdr:nvSpPr>
        <xdr:cNvPr id="615" name="Organigramme : Jonction de sommaire 614">
          <a:extLst>
            <a:ext uri="{FF2B5EF4-FFF2-40B4-BE49-F238E27FC236}">
              <a16:creationId xmlns:a16="http://schemas.microsoft.com/office/drawing/2014/main" id="{00000000-0008-0000-0A00-000067020000}"/>
            </a:ext>
          </a:extLst>
        </xdr:cNvPr>
        <xdr:cNvSpPr/>
      </xdr:nvSpPr>
      <xdr:spPr>
        <a:xfrm>
          <a:off x="12431956" y="10374739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1012031</xdr:colOff>
      <xdr:row>109</xdr:row>
      <xdr:rowOff>690563</xdr:rowOff>
    </xdr:from>
    <xdr:to>
      <xdr:col>5</xdr:col>
      <xdr:colOff>1246493</xdr:colOff>
      <xdr:row>109</xdr:row>
      <xdr:rowOff>917697</xdr:rowOff>
    </xdr:to>
    <xdr:sp macro="" textlink="">
      <xdr:nvSpPr>
        <xdr:cNvPr id="616" name="Organigramme : Jonction de sommaire 615">
          <a:extLst>
            <a:ext uri="{FF2B5EF4-FFF2-40B4-BE49-F238E27FC236}">
              <a16:creationId xmlns:a16="http://schemas.microsoft.com/office/drawing/2014/main" id="{00000000-0008-0000-0A00-000068020000}"/>
            </a:ext>
          </a:extLst>
        </xdr:cNvPr>
        <xdr:cNvSpPr/>
      </xdr:nvSpPr>
      <xdr:spPr>
        <a:xfrm>
          <a:off x="11560969" y="10372725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1452562</xdr:colOff>
      <xdr:row>109</xdr:row>
      <xdr:rowOff>702468</xdr:rowOff>
    </xdr:from>
    <xdr:to>
      <xdr:col>5</xdr:col>
      <xdr:colOff>1687024</xdr:colOff>
      <xdr:row>109</xdr:row>
      <xdr:rowOff>929602</xdr:rowOff>
    </xdr:to>
    <xdr:sp macro="" textlink="">
      <xdr:nvSpPr>
        <xdr:cNvPr id="617" name="Organigramme : Jonction de sommaire 616">
          <a:extLst>
            <a:ext uri="{FF2B5EF4-FFF2-40B4-BE49-F238E27FC236}">
              <a16:creationId xmlns:a16="http://schemas.microsoft.com/office/drawing/2014/main" id="{00000000-0008-0000-0A00-000069020000}"/>
            </a:ext>
          </a:extLst>
        </xdr:cNvPr>
        <xdr:cNvSpPr/>
      </xdr:nvSpPr>
      <xdr:spPr>
        <a:xfrm>
          <a:off x="12001500" y="10373915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349250</xdr:colOff>
      <xdr:row>109</xdr:row>
      <xdr:rowOff>428625</xdr:rowOff>
    </xdr:from>
    <xdr:to>
      <xdr:col>5</xdr:col>
      <xdr:colOff>357312</xdr:colOff>
      <xdr:row>109</xdr:row>
      <xdr:rowOff>1643063</xdr:rowOff>
    </xdr:to>
    <xdr:cxnSp macro="">
      <xdr:nvCxnSpPr>
        <xdr:cNvPr id="618" name="Connecteur droit 617">
          <a:extLst>
            <a:ext uri="{FF2B5EF4-FFF2-40B4-BE49-F238E27FC236}">
              <a16:creationId xmlns:a16="http://schemas.microsoft.com/office/drawing/2014/main" id="{00000000-0008-0000-0A00-00006A020000}"/>
            </a:ext>
          </a:extLst>
        </xdr:cNvPr>
        <xdr:cNvCxnSpPr/>
      </xdr:nvCxnSpPr>
      <xdr:spPr>
        <a:xfrm flipH="1">
          <a:off x="10898188" y="103465313"/>
          <a:ext cx="8062" cy="121443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396875</xdr:colOff>
      <xdr:row>109</xdr:row>
      <xdr:rowOff>1271099</xdr:rowOff>
    </xdr:from>
    <xdr:to>
      <xdr:col>5</xdr:col>
      <xdr:colOff>2301875</xdr:colOff>
      <xdr:row>109</xdr:row>
      <xdr:rowOff>1329714</xdr:rowOff>
    </xdr:to>
    <xdr:sp macro="" textlink="">
      <xdr:nvSpPr>
        <xdr:cNvPr id="619" name="Rectangle 618">
          <a:extLst>
            <a:ext uri="{FF2B5EF4-FFF2-40B4-BE49-F238E27FC236}">
              <a16:creationId xmlns:a16="http://schemas.microsoft.com/office/drawing/2014/main" id="{00000000-0008-0000-0A00-00006B020000}"/>
            </a:ext>
          </a:extLst>
        </xdr:cNvPr>
        <xdr:cNvSpPr/>
      </xdr:nvSpPr>
      <xdr:spPr>
        <a:xfrm>
          <a:off x="10945813" y="10430778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587740</xdr:colOff>
      <xdr:row>109</xdr:row>
      <xdr:rowOff>1187572</xdr:rowOff>
    </xdr:from>
    <xdr:to>
      <xdr:col>5</xdr:col>
      <xdr:colOff>822202</xdr:colOff>
      <xdr:row>109</xdr:row>
      <xdr:rowOff>1414706</xdr:rowOff>
    </xdr:to>
    <xdr:sp macro="" textlink="">
      <xdr:nvSpPr>
        <xdr:cNvPr id="620" name="Organigramme : Jonction de sommaire 619">
          <a:extLst>
            <a:ext uri="{FF2B5EF4-FFF2-40B4-BE49-F238E27FC236}">
              <a16:creationId xmlns:a16="http://schemas.microsoft.com/office/drawing/2014/main" id="{00000000-0008-0000-0A00-00006C020000}"/>
            </a:ext>
          </a:extLst>
        </xdr:cNvPr>
        <xdr:cNvSpPr/>
      </xdr:nvSpPr>
      <xdr:spPr>
        <a:xfrm>
          <a:off x="11136678" y="10422426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1879110</xdr:colOff>
      <xdr:row>109</xdr:row>
      <xdr:rowOff>1194898</xdr:rowOff>
    </xdr:from>
    <xdr:to>
      <xdr:col>5</xdr:col>
      <xdr:colOff>2113572</xdr:colOff>
      <xdr:row>109</xdr:row>
      <xdr:rowOff>1422032</xdr:rowOff>
    </xdr:to>
    <xdr:sp macro="" textlink="">
      <xdr:nvSpPr>
        <xdr:cNvPr id="621" name="Organigramme : Jonction de sommaire 620">
          <a:extLst>
            <a:ext uri="{FF2B5EF4-FFF2-40B4-BE49-F238E27FC236}">
              <a16:creationId xmlns:a16="http://schemas.microsoft.com/office/drawing/2014/main" id="{00000000-0008-0000-0A00-00006D020000}"/>
            </a:ext>
          </a:extLst>
        </xdr:cNvPr>
        <xdr:cNvSpPr/>
      </xdr:nvSpPr>
      <xdr:spPr>
        <a:xfrm>
          <a:off x="12428048" y="10423158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1008123</xdr:colOff>
      <xdr:row>109</xdr:row>
      <xdr:rowOff>1184275</xdr:rowOff>
    </xdr:from>
    <xdr:to>
      <xdr:col>5</xdr:col>
      <xdr:colOff>1242585</xdr:colOff>
      <xdr:row>109</xdr:row>
      <xdr:rowOff>1411409</xdr:rowOff>
    </xdr:to>
    <xdr:sp macro="" textlink="">
      <xdr:nvSpPr>
        <xdr:cNvPr id="622" name="Organigramme : Jonction de sommaire 621">
          <a:extLst>
            <a:ext uri="{FF2B5EF4-FFF2-40B4-BE49-F238E27FC236}">
              <a16:creationId xmlns:a16="http://schemas.microsoft.com/office/drawing/2014/main" id="{00000000-0008-0000-0A00-00006E020000}"/>
            </a:ext>
          </a:extLst>
        </xdr:cNvPr>
        <xdr:cNvSpPr/>
      </xdr:nvSpPr>
      <xdr:spPr>
        <a:xfrm>
          <a:off x="11557061" y="10422096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1448654</xdr:colOff>
      <xdr:row>109</xdr:row>
      <xdr:rowOff>1186655</xdr:rowOff>
    </xdr:from>
    <xdr:to>
      <xdr:col>5</xdr:col>
      <xdr:colOff>1683116</xdr:colOff>
      <xdr:row>109</xdr:row>
      <xdr:rowOff>1413789</xdr:rowOff>
    </xdr:to>
    <xdr:sp macro="" textlink="">
      <xdr:nvSpPr>
        <xdr:cNvPr id="623" name="Organigramme : Jonction de sommaire 622">
          <a:extLst>
            <a:ext uri="{FF2B5EF4-FFF2-40B4-BE49-F238E27FC236}">
              <a16:creationId xmlns:a16="http://schemas.microsoft.com/office/drawing/2014/main" id="{00000000-0008-0000-0A00-00006F020000}"/>
            </a:ext>
          </a:extLst>
        </xdr:cNvPr>
        <xdr:cNvSpPr/>
      </xdr:nvSpPr>
      <xdr:spPr>
        <a:xfrm>
          <a:off x="11997592" y="10422334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72</xdr:row>
      <xdr:rowOff>762000</xdr:rowOff>
    </xdr:from>
    <xdr:to>
      <xdr:col>5</xdr:col>
      <xdr:colOff>2107406</xdr:colOff>
      <xdr:row>72</xdr:row>
      <xdr:rowOff>807719</xdr:rowOff>
    </xdr:to>
    <xdr:sp macro="" textlink="">
      <xdr:nvSpPr>
        <xdr:cNvPr id="624" name="Rectangle 623">
          <a:extLst>
            <a:ext uri="{FF2B5EF4-FFF2-40B4-BE49-F238E27FC236}">
              <a16:creationId xmlns:a16="http://schemas.microsoft.com/office/drawing/2014/main" id="{00000000-0008-0000-0A00-000070020000}"/>
            </a:ext>
          </a:extLst>
        </xdr:cNvPr>
        <xdr:cNvSpPr/>
      </xdr:nvSpPr>
      <xdr:spPr>
        <a:xfrm>
          <a:off x="11334750" y="66035464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748393</xdr:colOff>
      <xdr:row>76</xdr:row>
      <xdr:rowOff>734786</xdr:rowOff>
    </xdr:from>
    <xdr:to>
      <xdr:col>5</xdr:col>
      <xdr:colOff>2093799</xdr:colOff>
      <xdr:row>76</xdr:row>
      <xdr:rowOff>780505</xdr:rowOff>
    </xdr:to>
    <xdr:sp macro="" textlink="">
      <xdr:nvSpPr>
        <xdr:cNvPr id="625" name="Rectangle 624">
          <a:extLst>
            <a:ext uri="{FF2B5EF4-FFF2-40B4-BE49-F238E27FC236}">
              <a16:creationId xmlns:a16="http://schemas.microsoft.com/office/drawing/2014/main" id="{00000000-0008-0000-0A00-000071020000}"/>
            </a:ext>
          </a:extLst>
        </xdr:cNvPr>
        <xdr:cNvSpPr/>
      </xdr:nvSpPr>
      <xdr:spPr>
        <a:xfrm>
          <a:off x="11321143" y="721042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110</xdr:row>
      <xdr:rowOff>104775</xdr:rowOff>
    </xdr:from>
    <xdr:to>
      <xdr:col>5</xdr:col>
      <xdr:colOff>885825</xdr:colOff>
      <xdr:row>110</xdr:row>
      <xdr:rowOff>257175</xdr:rowOff>
    </xdr:to>
    <xdr:sp macro="" textlink="">
      <xdr:nvSpPr>
        <xdr:cNvPr id="630" name="Rectangle 629">
          <a:extLst>
            <a:ext uri="{FF2B5EF4-FFF2-40B4-BE49-F238E27FC236}">
              <a16:creationId xmlns:a16="http://schemas.microsoft.com/office/drawing/2014/main" id="{00000000-0008-0000-0A00-000076020000}"/>
            </a:ext>
          </a:extLst>
        </xdr:cNvPr>
        <xdr:cNvSpPr/>
      </xdr:nvSpPr>
      <xdr:spPr>
        <a:xfrm>
          <a:off x="11428639" y="7299823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110</xdr:row>
      <xdr:rowOff>1771650</xdr:rowOff>
    </xdr:from>
    <xdr:to>
      <xdr:col>5</xdr:col>
      <xdr:colOff>891268</xdr:colOff>
      <xdr:row>110</xdr:row>
      <xdr:rowOff>1924050</xdr:rowOff>
    </xdr:to>
    <xdr:sp macro="" textlink="">
      <xdr:nvSpPr>
        <xdr:cNvPr id="631" name="Rectangle 630">
          <a:extLst>
            <a:ext uri="{FF2B5EF4-FFF2-40B4-BE49-F238E27FC236}">
              <a16:creationId xmlns:a16="http://schemas.microsoft.com/office/drawing/2014/main" id="{00000000-0008-0000-0A00-000077020000}"/>
            </a:ext>
          </a:extLst>
        </xdr:cNvPr>
        <xdr:cNvSpPr/>
      </xdr:nvSpPr>
      <xdr:spPr>
        <a:xfrm>
          <a:off x="11434082" y="1188066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110</xdr:row>
      <xdr:rowOff>95250</xdr:rowOff>
    </xdr:from>
    <xdr:to>
      <xdr:col>5</xdr:col>
      <xdr:colOff>2143125</xdr:colOff>
      <xdr:row>110</xdr:row>
      <xdr:rowOff>247650</xdr:rowOff>
    </xdr:to>
    <xdr:sp macro="" textlink="">
      <xdr:nvSpPr>
        <xdr:cNvPr id="632" name="Rectangle 631">
          <a:extLst>
            <a:ext uri="{FF2B5EF4-FFF2-40B4-BE49-F238E27FC236}">
              <a16:creationId xmlns:a16="http://schemas.microsoft.com/office/drawing/2014/main" id="{00000000-0008-0000-0A00-000078020000}"/>
            </a:ext>
          </a:extLst>
        </xdr:cNvPr>
        <xdr:cNvSpPr/>
      </xdr:nvSpPr>
      <xdr:spPr>
        <a:xfrm>
          <a:off x="12685939" y="7298871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110</xdr:row>
      <xdr:rowOff>1771650</xdr:rowOff>
    </xdr:from>
    <xdr:to>
      <xdr:col>5</xdr:col>
      <xdr:colOff>2139043</xdr:colOff>
      <xdr:row>110</xdr:row>
      <xdr:rowOff>1924050</xdr:rowOff>
    </xdr:to>
    <xdr:sp macro="" textlink="">
      <xdr:nvSpPr>
        <xdr:cNvPr id="633" name="Rectangle 632">
          <a:extLst>
            <a:ext uri="{FF2B5EF4-FFF2-40B4-BE49-F238E27FC236}">
              <a16:creationId xmlns:a16="http://schemas.microsoft.com/office/drawing/2014/main" id="{00000000-0008-0000-0A00-000079020000}"/>
            </a:ext>
          </a:extLst>
        </xdr:cNvPr>
        <xdr:cNvSpPr/>
      </xdr:nvSpPr>
      <xdr:spPr>
        <a:xfrm>
          <a:off x="12681857" y="1188066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110</xdr:row>
      <xdr:rowOff>533618</xdr:rowOff>
    </xdr:from>
    <xdr:to>
      <xdr:col>5</xdr:col>
      <xdr:colOff>2096582</xdr:colOff>
      <xdr:row>110</xdr:row>
      <xdr:rowOff>579337</xdr:rowOff>
    </xdr:to>
    <xdr:sp macro="" textlink="">
      <xdr:nvSpPr>
        <xdr:cNvPr id="634" name="Rectangle 633">
          <a:extLst>
            <a:ext uri="{FF2B5EF4-FFF2-40B4-BE49-F238E27FC236}">
              <a16:creationId xmlns:a16="http://schemas.microsoft.com/office/drawing/2014/main" id="{00000000-0008-0000-0A00-00007A02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110</xdr:row>
      <xdr:rowOff>984723</xdr:rowOff>
    </xdr:from>
    <xdr:to>
      <xdr:col>5</xdr:col>
      <xdr:colOff>2107406</xdr:colOff>
      <xdr:row>110</xdr:row>
      <xdr:rowOff>1030442</xdr:rowOff>
    </xdr:to>
    <xdr:sp macro="" textlink="">
      <xdr:nvSpPr>
        <xdr:cNvPr id="638" name="Rectangle 637">
          <a:extLst>
            <a:ext uri="{FF2B5EF4-FFF2-40B4-BE49-F238E27FC236}">
              <a16:creationId xmlns:a16="http://schemas.microsoft.com/office/drawing/2014/main" id="{00000000-0008-0000-0A00-00007E02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110</xdr:row>
      <xdr:rowOff>1452313</xdr:rowOff>
    </xdr:from>
    <xdr:to>
      <xdr:col>5</xdr:col>
      <xdr:colOff>2116065</xdr:colOff>
      <xdr:row>110</xdr:row>
      <xdr:rowOff>1498032</xdr:rowOff>
    </xdr:to>
    <xdr:sp macro="" textlink="">
      <xdr:nvSpPr>
        <xdr:cNvPr id="641" name="Rectangle 640">
          <a:extLst>
            <a:ext uri="{FF2B5EF4-FFF2-40B4-BE49-F238E27FC236}">
              <a16:creationId xmlns:a16="http://schemas.microsoft.com/office/drawing/2014/main" id="{00000000-0008-0000-0A00-00008102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111</xdr:row>
      <xdr:rowOff>104775</xdr:rowOff>
    </xdr:from>
    <xdr:to>
      <xdr:col>5</xdr:col>
      <xdr:colOff>885825</xdr:colOff>
      <xdr:row>111</xdr:row>
      <xdr:rowOff>257175</xdr:rowOff>
    </xdr:to>
    <xdr:sp macro="" textlink="">
      <xdr:nvSpPr>
        <xdr:cNvPr id="647" name="Rectangle 646">
          <a:extLst>
            <a:ext uri="{FF2B5EF4-FFF2-40B4-BE49-F238E27FC236}">
              <a16:creationId xmlns:a16="http://schemas.microsoft.com/office/drawing/2014/main" id="{00000000-0008-0000-0A00-000087020000}"/>
            </a:ext>
          </a:extLst>
        </xdr:cNvPr>
        <xdr:cNvSpPr/>
      </xdr:nvSpPr>
      <xdr:spPr>
        <a:xfrm>
          <a:off x="11427402" y="11738350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111</xdr:row>
      <xdr:rowOff>1771650</xdr:rowOff>
    </xdr:from>
    <xdr:to>
      <xdr:col>5</xdr:col>
      <xdr:colOff>891268</xdr:colOff>
      <xdr:row>111</xdr:row>
      <xdr:rowOff>1924050</xdr:rowOff>
    </xdr:to>
    <xdr:sp macro="" textlink="">
      <xdr:nvSpPr>
        <xdr:cNvPr id="648" name="Rectangle 647">
          <a:extLst>
            <a:ext uri="{FF2B5EF4-FFF2-40B4-BE49-F238E27FC236}">
              <a16:creationId xmlns:a16="http://schemas.microsoft.com/office/drawing/2014/main" id="{00000000-0008-0000-0A00-000088020000}"/>
            </a:ext>
          </a:extLst>
        </xdr:cNvPr>
        <xdr:cNvSpPr/>
      </xdr:nvSpPr>
      <xdr:spPr>
        <a:xfrm>
          <a:off x="11432845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111</xdr:row>
      <xdr:rowOff>95250</xdr:rowOff>
    </xdr:from>
    <xdr:to>
      <xdr:col>5</xdr:col>
      <xdr:colOff>2143125</xdr:colOff>
      <xdr:row>111</xdr:row>
      <xdr:rowOff>247650</xdr:rowOff>
    </xdr:to>
    <xdr:sp macro="" textlink="">
      <xdr:nvSpPr>
        <xdr:cNvPr id="649" name="Rectangle 648">
          <a:extLst>
            <a:ext uri="{FF2B5EF4-FFF2-40B4-BE49-F238E27FC236}">
              <a16:creationId xmlns:a16="http://schemas.microsoft.com/office/drawing/2014/main" id="{00000000-0008-0000-0A00-000089020000}"/>
            </a:ext>
          </a:extLst>
        </xdr:cNvPr>
        <xdr:cNvSpPr/>
      </xdr:nvSpPr>
      <xdr:spPr>
        <a:xfrm>
          <a:off x="12684702" y="1173739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111</xdr:row>
      <xdr:rowOff>1771650</xdr:rowOff>
    </xdr:from>
    <xdr:to>
      <xdr:col>5</xdr:col>
      <xdr:colOff>2139043</xdr:colOff>
      <xdr:row>111</xdr:row>
      <xdr:rowOff>1924050</xdr:rowOff>
    </xdr:to>
    <xdr:sp macro="" textlink="">
      <xdr:nvSpPr>
        <xdr:cNvPr id="650" name="Rectangle 649">
          <a:extLst>
            <a:ext uri="{FF2B5EF4-FFF2-40B4-BE49-F238E27FC236}">
              <a16:creationId xmlns:a16="http://schemas.microsoft.com/office/drawing/2014/main" id="{00000000-0008-0000-0A00-00008A020000}"/>
            </a:ext>
          </a:extLst>
        </xdr:cNvPr>
        <xdr:cNvSpPr/>
      </xdr:nvSpPr>
      <xdr:spPr>
        <a:xfrm>
          <a:off x="12680620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111</xdr:row>
      <xdr:rowOff>533618</xdr:rowOff>
    </xdr:from>
    <xdr:to>
      <xdr:col>5</xdr:col>
      <xdr:colOff>2096582</xdr:colOff>
      <xdr:row>111</xdr:row>
      <xdr:rowOff>579337</xdr:rowOff>
    </xdr:to>
    <xdr:sp macro="" textlink="">
      <xdr:nvSpPr>
        <xdr:cNvPr id="651" name="Rectangle 650">
          <a:extLst>
            <a:ext uri="{FF2B5EF4-FFF2-40B4-BE49-F238E27FC236}">
              <a16:creationId xmlns:a16="http://schemas.microsoft.com/office/drawing/2014/main" id="{00000000-0008-0000-0A00-00008B02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111</xdr:row>
      <xdr:rowOff>984723</xdr:rowOff>
    </xdr:from>
    <xdr:to>
      <xdr:col>5</xdr:col>
      <xdr:colOff>2107406</xdr:colOff>
      <xdr:row>111</xdr:row>
      <xdr:rowOff>1030442</xdr:rowOff>
    </xdr:to>
    <xdr:sp macro="" textlink="">
      <xdr:nvSpPr>
        <xdr:cNvPr id="655" name="Rectangle 654">
          <a:extLst>
            <a:ext uri="{FF2B5EF4-FFF2-40B4-BE49-F238E27FC236}">
              <a16:creationId xmlns:a16="http://schemas.microsoft.com/office/drawing/2014/main" id="{00000000-0008-0000-0A00-00008F02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965921</xdr:colOff>
      <xdr:row>111</xdr:row>
      <xdr:rowOff>433821</xdr:rowOff>
    </xdr:from>
    <xdr:to>
      <xdr:col>5</xdr:col>
      <xdr:colOff>1200383</xdr:colOff>
      <xdr:row>111</xdr:row>
      <xdr:rowOff>660955</xdr:rowOff>
    </xdr:to>
    <xdr:sp macro="" textlink="">
      <xdr:nvSpPr>
        <xdr:cNvPr id="656" name="Organigramme : Jonction de sommaire 655">
          <a:extLst>
            <a:ext uri="{FF2B5EF4-FFF2-40B4-BE49-F238E27FC236}">
              <a16:creationId xmlns:a16="http://schemas.microsoft.com/office/drawing/2014/main" id="{00000000-0008-0000-0A00-000090020000}"/>
            </a:ext>
          </a:extLst>
        </xdr:cNvPr>
        <xdr:cNvSpPr/>
      </xdr:nvSpPr>
      <xdr:spPr>
        <a:xfrm>
          <a:off x="11643446" y="12971664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1610456</xdr:colOff>
      <xdr:row>111</xdr:row>
      <xdr:rowOff>453703</xdr:rowOff>
    </xdr:from>
    <xdr:to>
      <xdr:col>5</xdr:col>
      <xdr:colOff>1844918</xdr:colOff>
      <xdr:row>111</xdr:row>
      <xdr:rowOff>680837</xdr:rowOff>
    </xdr:to>
    <xdr:sp macro="" textlink="">
      <xdr:nvSpPr>
        <xdr:cNvPr id="657" name="Organigramme : Jonction de sommaire 656">
          <a:extLst>
            <a:ext uri="{FF2B5EF4-FFF2-40B4-BE49-F238E27FC236}">
              <a16:creationId xmlns:a16="http://schemas.microsoft.com/office/drawing/2014/main" id="{00000000-0008-0000-0A00-000091020000}"/>
            </a:ext>
          </a:extLst>
        </xdr:cNvPr>
        <xdr:cNvSpPr/>
      </xdr:nvSpPr>
      <xdr:spPr>
        <a:xfrm>
          <a:off x="12287981" y="12973652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111</xdr:row>
      <xdr:rowOff>1452313</xdr:rowOff>
    </xdr:from>
    <xdr:to>
      <xdr:col>5</xdr:col>
      <xdr:colOff>2116065</xdr:colOff>
      <xdr:row>111</xdr:row>
      <xdr:rowOff>1498032</xdr:rowOff>
    </xdr:to>
    <xdr:sp macro="" textlink="">
      <xdr:nvSpPr>
        <xdr:cNvPr id="658" name="Rectangle 657">
          <a:extLst>
            <a:ext uri="{FF2B5EF4-FFF2-40B4-BE49-F238E27FC236}">
              <a16:creationId xmlns:a16="http://schemas.microsoft.com/office/drawing/2014/main" id="{00000000-0008-0000-0A00-00009202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112</xdr:row>
      <xdr:rowOff>104775</xdr:rowOff>
    </xdr:from>
    <xdr:to>
      <xdr:col>5</xdr:col>
      <xdr:colOff>885825</xdr:colOff>
      <xdr:row>112</xdr:row>
      <xdr:rowOff>257175</xdr:rowOff>
    </xdr:to>
    <xdr:sp macro="" textlink="">
      <xdr:nvSpPr>
        <xdr:cNvPr id="681" name="Rectangle 680">
          <a:extLst>
            <a:ext uri="{FF2B5EF4-FFF2-40B4-BE49-F238E27FC236}">
              <a16:creationId xmlns:a16="http://schemas.microsoft.com/office/drawing/2014/main" id="{00000000-0008-0000-0A00-0000A9020000}"/>
            </a:ext>
          </a:extLst>
        </xdr:cNvPr>
        <xdr:cNvSpPr/>
      </xdr:nvSpPr>
      <xdr:spPr>
        <a:xfrm>
          <a:off x="11427402" y="11738350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112</xdr:row>
      <xdr:rowOff>1771650</xdr:rowOff>
    </xdr:from>
    <xdr:to>
      <xdr:col>5</xdr:col>
      <xdr:colOff>891268</xdr:colOff>
      <xdr:row>112</xdr:row>
      <xdr:rowOff>1924050</xdr:rowOff>
    </xdr:to>
    <xdr:sp macro="" textlink="">
      <xdr:nvSpPr>
        <xdr:cNvPr id="682" name="Rectangle 681">
          <a:extLst>
            <a:ext uri="{FF2B5EF4-FFF2-40B4-BE49-F238E27FC236}">
              <a16:creationId xmlns:a16="http://schemas.microsoft.com/office/drawing/2014/main" id="{00000000-0008-0000-0A00-0000AA020000}"/>
            </a:ext>
          </a:extLst>
        </xdr:cNvPr>
        <xdr:cNvSpPr/>
      </xdr:nvSpPr>
      <xdr:spPr>
        <a:xfrm>
          <a:off x="11432845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112</xdr:row>
      <xdr:rowOff>95250</xdr:rowOff>
    </xdr:from>
    <xdr:to>
      <xdr:col>5</xdr:col>
      <xdr:colOff>2143125</xdr:colOff>
      <xdr:row>112</xdr:row>
      <xdr:rowOff>247650</xdr:rowOff>
    </xdr:to>
    <xdr:sp macro="" textlink="">
      <xdr:nvSpPr>
        <xdr:cNvPr id="683" name="Rectangle 682">
          <a:extLst>
            <a:ext uri="{FF2B5EF4-FFF2-40B4-BE49-F238E27FC236}">
              <a16:creationId xmlns:a16="http://schemas.microsoft.com/office/drawing/2014/main" id="{00000000-0008-0000-0A00-0000AB020000}"/>
            </a:ext>
          </a:extLst>
        </xdr:cNvPr>
        <xdr:cNvSpPr/>
      </xdr:nvSpPr>
      <xdr:spPr>
        <a:xfrm>
          <a:off x="12684702" y="1173739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112</xdr:row>
      <xdr:rowOff>1771650</xdr:rowOff>
    </xdr:from>
    <xdr:to>
      <xdr:col>5</xdr:col>
      <xdr:colOff>2139043</xdr:colOff>
      <xdr:row>112</xdr:row>
      <xdr:rowOff>1924050</xdr:rowOff>
    </xdr:to>
    <xdr:sp macro="" textlink="">
      <xdr:nvSpPr>
        <xdr:cNvPr id="684" name="Rectangle 683">
          <a:extLst>
            <a:ext uri="{FF2B5EF4-FFF2-40B4-BE49-F238E27FC236}">
              <a16:creationId xmlns:a16="http://schemas.microsoft.com/office/drawing/2014/main" id="{00000000-0008-0000-0A00-0000AC020000}"/>
            </a:ext>
          </a:extLst>
        </xdr:cNvPr>
        <xdr:cNvSpPr/>
      </xdr:nvSpPr>
      <xdr:spPr>
        <a:xfrm>
          <a:off x="12680620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112</xdr:row>
      <xdr:rowOff>533618</xdr:rowOff>
    </xdr:from>
    <xdr:to>
      <xdr:col>5</xdr:col>
      <xdr:colOff>2096582</xdr:colOff>
      <xdr:row>112</xdr:row>
      <xdr:rowOff>579337</xdr:rowOff>
    </xdr:to>
    <xdr:sp macro="" textlink="">
      <xdr:nvSpPr>
        <xdr:cNvPr id="685" name="Rectangle 684">
          <a:extLst>
            <a:ext uri="{FF2B5EF4-FFF2-40B4-BE49-F238E27FC236}">
              <a16:creationId xmlns:a16="http://schemas.microsoft.com/office/drawing/2014/main" id="{00000000-0008-0000-0A00-0000AD02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974147</xdr:colOff>
      <xdr:row>112</xdr:row>
      <xdr:rowOff>449441</xdr:rowOff>
    </xdr:from>
    <xdr:to>
      <xdr:col>5</xdr:col>
      <xdr:colOff>1208609</xdr:colOff>
      <xdr:row>112</xdr:row>
      <xdr:rowOff>676575</xdr:rowOff>
    </xdr:to>
    <xdr:sp macro="" textlink="">
      <xdr:nvSpPr>
        <xdr:cNvPr id="686" name="Organigramme : Jonction de sommaire 685">
          <a:extLst>
            <a:ext uri="{FF2B5EF4-FFF2-40B4-BE49-F238E27FC236}">
              <a16:creationId xmlns:a16="http://schemas.microsoft.com/office/drawing/2014/main" id="{00000000-0008-0000-0A00-0000AE020000}"/>
            </a:ext>
          </a:extLst>
        </xdr:cNvPr>
        <xdr:cNvSpPr/>
      </xdr:nvSpPr>
      <xdr:spPr>
        <a:xfrm>
          <a:off x="11668124" y="1177281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1590107</xdr:colOff>
      <xdr:row>112</xdr:row>
      <xdr:rowOff>450273</xdr:rowOff>
    </xdr:from>
    <xdr:to>
      <xdr:col>5</xdr:col>
      <xdr:colOff>1824569</xdr:colOff>
      <xdr:row>112</xdr:row>
      <xdr:rowOff>677407</xdr:rowOff>
    </xdr:to>
    <xdr:sp macro="" textlink="">
      <xdr:nvSpPr>
        <xdr:cNvPr id="687" name="Organigramme : Jonction de sommaire 686">
          <a:extLst>
            <a:ext uri="{FF2B5EF4-FFF2-40B4-BE49-F238E27FC236}">
              <a16:creationId xmlns:a16="http://schemas.microsoft.com/office/drawing/2014/main" id="{00000000-0008-0000-0A00-0000AF020000}"/>
            </a:ext>
          </a:extLst>
        </xdr:cNvPr>
        <xdr:cNvSpPr/>
      </xdr:nvSpPr>
      <xdr:spPr>
        <a:xfrm>
          <a:off x="12284084" y="1177290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112</xdr:row>
      <xdr:rowOff>984723</xdr:rowOff>
    </xdr:from>
    <xdr:to>
      <xdr:col>5</xdr:col>
      <xdr:colOff>2107406</xdr:colOff>
      <xdr:row>112</xdr:row>
      <xdr:rowOff>1030442</xdr:rowOff>
    </xdr:to>
    <xdr:sp macro="" textlink="">
      <xdr:nvSpPr>
        <xdr:cNvPr id="689" name="Rectangle 688">
          <a:extLst>
            <a:ext uri="{FF2B5EF4-FFF2-40B4-BE49-F238E27FC236}">
              <a16:creationId xmlns:a16="http://schemas.microsoft.com/office/drawing/2014/main" id="{00000000-0008-0000-0A00-0000B102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984971</xdr:colOff>
      <xdr:row>112</xdr:row>
      <xdr:rowOff>900546</xdr:rowOff>
    </xdr:from>
    <xdr:to>
      <xdr:col>5</xdr:col>
      <xdr:colOff>1219433</xdr:colOff>
      <xdr:row>112</xdr:row>
      <xdr:rowOff>1127680</xdr:rowOff>
    </xdr:to>
    <xdr:sp macro="" textlink="">
      <xdr:nvSpPr>
        <xdr:cNvPr id="690" name="Organigramme : Jonction de sommaire 689">
          <a:extLst>
            <a:ext uri="{FF2B5EF4-FFF2-40B4-BE49-F238E27FC236}">
              <a16:creationId xmlns:a16="http://schemas.microsoft.com/office/drawing/2014/main" id="{00000000-0008-0000-0A00-0000B2020000}"/>
            </a:ext>
          </a:extLst>
        </xdr:cNvPr>
        <xdr:cNvSpPr/>
      </xdr:nvSpPr>
      <xdr:spPr>
        <a:xfrm>
          <a:off x="11678948" y="1181792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1600931</xdr:colOff>
      <xdr:row>112</xdr:row>
      <xdr:rowOff>901378</xdr:rowOff>
    </xdr:from>
    <xdr:to>
      <xdr:col>5</xdr:col>
      <xdr:colOff>1835393</xdr:colOff>
      <xdr:row>112</xdr:row>
      <xdr:rowOff>1128512</xdr:rowOff>
    </xdr:to>
    <xdr:sp macro="" textlink="">
      <xdr:nvSpPr>
        <xdr:cNvPr id="691" name="Organigramme : Jonction de sommaire 690">
          <a:extLst>
            <a:ext uri="{FF2B5EF4-FFF2-40B4-BE49-F238E27FC236}">
              <a16:creationId xmlns:a16="http://schemas.microsoft.com/office/drawing/2014/main" id="{00000000-0008-0000-0A00-0000B3020000}"/>
            </a:ext>
          </a:extLst>
        </xdr:cNvPr>
        <xdr:cNvSpPr/>
      </xdr:nvSpPr>
      <xdr:spPr>
        <a:xfrm>
          <a:off x="12294908" y="11818010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112</xdr:row>
      <xdr:rowOff>1452313</xdr:rowOff>
    </xdr:from>
    <xdr:to>
      <xdr:col>5</xdr:col>
      <xdr:colOff>2116065</xdr:colOff>
      <xdr:row>112</xdr:row>
      <xdr:rowOff>1498032</xdr:rowOff>
    </xdr:to>
    <xdr:sp macro="" textlink="">
      <xdr:nvSpPr>
        <xdr:cNvPr id="692" name="Rectangle 691">
          <a:extLst>
            <a:ext uri="{FF2B5EF4-FFF2-40B4-BE49-F238E27FC236}">
              <a16:creationId xmlns:a16="http://schemas.microsoft.com/office/drawing/2014/main" id="{00000000-0008-0000-0A00-0000B402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993630</xdr:colOff>
      <xdr:row>112</xdr:row>
      <xdr:rowOff>1368136</xdr:rowOff>
    </xdr:from>
    <xdr:to>
      <xdr:col>5</xdr:col>
      <xdr:colOff>1228092</xdr:colOff>
      <xdr:row>112</xdr:row>
      <xdr:rowOff>1595270</xdr:rowOff>
    </xdr:to>
    <xdr:sp macro="" textlink="">
      <xdr:nvSpPr>
        <xdr:cNvPr id="693" name="Organigramme : Jonction de sommaire 692">
          <a:extLst>
            <a:ext uri="{FF2B5EF4-FFF2-40B4-BE49-F238E27FC236}">
              <a16:creationId xmlns:a16="http://schemas.microsoft.com/office/drawing/2014/main" id="{00000000-0008-0000-0A00-0000B5020000}"/>
            </a:ext>
          </a:extLst>
        </xdr:cNvPr>
        <xdr:cNvSpPr/>
      </xdr:nvSpPr>
      <xdr:spPr>
        <a:xfrm>
          <a:off x="11687607" y="11864686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1609590</xdr:colOff>
      <xdr:row>112</xdr:row>
      <xdr:rowOff>1368968</xdr:rowOff>
    </xdr:from>
    <xdr:to>
      <xdr:col>5</xdr:col>
      <xdr:colOff>1844052</xdr:colOff>
      <xdr:row>112</xdr:row>
      <xdr:rowOff>1596102</xdr:rowOff>
    </xdr:to>
    <xdr:sp macro="" textlink="">
      <xdr:nvSpPr>
        <xdr:cNvPr id="694" name="Organigramme : Jonction de sommaire 693">
          <a:extLst>
            <a:ext uri="{FF2B5EF4-FFF2-40B4-BE49-F238E27FC236}">
              <a16:creationId xmlns:a16="http://schemas.microsoft.com/office/drawing/2014/main" id="{00000000-0008-0000-0A00-0000B6020000}"/>
            </a:ext>
          </a:extLst>
        </xdr:cNvPr>
        <xdr:cNvSpPr/>
      </xdr:nvSpPr>
      <xdr:spPr>
        <a:xfrm>
          <a:off x="12303567" y="11864769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747156</xdr:colOff>
      <xdr:row>113</xdr:row>
      <xdr:rowOff>310862</xdr:rowOff>
    </xdr:from>
    <xdr:to>
      <xdr:col>5</xdr:col>
      <xdr:colOff>747158</xdr:colOff>
      <xdr:row>113</xdr:row>
      <xdr:rowOff>1762744</xdr:rowOff>
    </xdr:to>
    <xdr:cxnSp macro="">
      <xdr:nvCxnSpPr>
        <xdr:cNvPr id="695" name="Connecteur droit 694">
          <a:extLst>
            <a:ext uri="{FF2B5EF4-FFF2-40B4-BE49-F238E27FC236}">
              <a16:creationId xmlns:a16="http://schemas.microsoft.com/office/drawing/2014/main" id="{00000000-0008-0000-0A00-0000B7020000}"/>
            </a:ext>
          </a:extLst>
        </xdr:cNvPr>
        <xdr:cNvCxnSpPr/>
      </xdr:nvCxnSpPr>
      <xdr:spPr>
        <a:xfrm flipH="1">
          <a:off x="11441133" y="117589589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113</xdr:row>
      <xdr:rowOff>123825</xdr:rowOff>
    </xdr:from>
    <xdr:to>
      <xdr:col>5</xdr:col>
      <xdr:colOff>1962150</xdr:colOff>
      <xdr:row>113</xdr:row>
      <xdr:rowOff>123825</xdr:rowOff>
    </xdr:to>
    <xdr:cxnSp macro="">
      <xdr:nvCxnSpPr>
        <xdr:cNvPr id="696" name="Connecteur droit 695">
          <a:extLst>
            <a:ext uri="{FF2B5EF4-FFF2-40B4-BE49-F238E27FC236}">
              <a16:creationId xmlns:a16="http://schemas.microsoft.com/office/drawing/2014/main" id="{00000000-0008-0000-0A00-0000B8020000}"/>
            </a:ext>
          </a:extLst>
        </xdr:cNvPr>
        <xdr:cNvCxnSpPr/>
      </xdr:nvCxnSpPr>
      <xdr:spPr>
        <a:xfrm>
          <a:off x="11574992" y="177828575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900793</xdr:colOff>
      <xdr:row>113</xdr:row>
      <xdr:rowOff>1905000</xdr:rowOff>
    </xdr:from>
    <xdr:to>
      <xdr:col>5</xdr:col>
      <xdr:colOff>1977118</xdr:colOff>
      <xdr:row>113</xdr:row>
      <xdr:rowOff>1905000</xdr:rowOff>
    </xdr:to>
    <xdr:cxnSp macro="">
      <xdr:nvCxnSpPr>
        <xdr:cNvPr id="697" name="Connecteur droit 696">
          <a:extLst>
            <a:ext uri="{FF2B5EF4-FFF2-40B4-BE49-F238E27FC236}">
              <a16:creationId xmlns:a16="http://schemas.microsoft.com/office/drawing/2014/main" id="{00000000-0008-0000-0A00-0000B9020000}"/>
            </a:ext>
          </a:extLst>
        </xdr:cNvPr>
        <xdr:cNvCxnSpPr/>
      </xdr:nvCxnSpPr>
      <xdr:spPr>
        <a:xfrm>
          <a:off x="11589960" y="179609750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113</xdr:row>
      <xdr:rowOff>104775</xdr:rowOff>
    </xdr:from>
    <xdr:to>
      <xdr:col>5</xdr:col>
      <xdr:colOff>885825</xdr:colOff>
      <xdr:row>113</xdr:row>
      <xdr:rowOff>257175</xdr:rowOff>
    </xdr:to>
    <xdr:sp macro="" textlink="">
      <xdr:nvSpPr>
        <xdr:cNvPr id="698" name="Rectangle 697">
          <a:extLst>
            <a:ext uri="{FF2B5EF4-FFF2-40B4-BE49-F238E27FC236}">
              <a16:creationId xmlns:a16="http://schemas.microsoft.com/office/drawing/2014/main" id="{00000000-0008-0000-0A00-0000BA020000}"/>
            </a:ext>
          </a:extLst>
        </xdr:cNvPr>
        <xdr:cNvSpPr/>
      </xdr:nvSpPr>
      <xdr:spPr>
        <a:xfrm>
          <a:off x="11422592" y="1778095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113</xdr:row>
      <xdr:rowOff>1771650</xdr:rowOff>
    </xdr:from>
    <xdr:to>
      <xdr:col>5</xdr:col>
      <xdr:colOff>891268</xdr:colOff>
      <xdr:row>113</xdr:row>
      <xdr:rowOff>1924050</xdr:rowOff>
    </xdr:to>
    <xdr:sp macro="" textlink="">
      <xdr:nvSpPr>
        <xdr:cNvPr id="699" name="Rectangle 698">
          <a:extLst>
            <a:ext uri="{FF2B5EF4-FFF2-40B4-BE49-F238E27FC236}">
              <a16:creationId xmlns:a16="http://schemas.microsoft.com/office/drawing/2014/main" id="{00000000-0008-0000-0A00-0000BB020000}"/>
            </a:ext>
          </a:extLst>
        </xdr:cNvPr>
        <xdr:cNvSpPr/>
      </xdr:nvSpPr>
      <xdr:spPr>
        <a:xfrm>
          <a:off x="11428035" y="179476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113</xdr:row>
      <xdr:rowOff>95250</xdr:rowOff>
    </xdr:from>
    <xdr:to>
      <xdr:col>5</xdr:col>
      <xdr:colOff>2143125</xdr:colOff>
      <xdr:row>113</xdr:row>
      <xdr:rowOff>247650</xdr:rowOff>
    </xdr:to>
    <xdr:sp macro="" textlink="">
      <xdr:nvSpPr>
        <xdr:cNvPr id="700" name="Rectangle 699">
          <a:extLst>
            <a:ext uri="{FF2B5EF4-FFF2-40B4-BE49-F238E27FC236}">
              <a16:creationId xmlns:a16="http://schemas.microsoft.com/office/drawing/2014/main" id="{00000000-0008-0000-0A00-0000BC020000}"/>
            </a:ext>
          </a:extLst>
        </xdr:cNvPr>
        <xdr:cNvSpPr/>
      </xdr:nvSpPr>
      <xdr:spPr>
        <a:xfrm>
          <a:off x="12679892" y="1778000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113</xdr:row>
      <xdr:rowOff>1771650</xdr:rowOff>
    </xdr:from>
    <xdr:to>
      <xdr:col>5</xdr:col>
      <xdr:colOff>2139043</xdr:colOff>
      <xdr:row>113</xdr:row>
      <xdr:rowOff>1924050</xdr:rowOff>
    </xdr:to>
    <xdr:sp macro="" textlink="">
      <xdr:nvSpPr>
        <xdr:cNvPr id="701" name="Rectangle 700">
          <a:extLst>
            <a:ext uri="{FF2B5EF4-FFF2-40B4-BE49-F238E27FC236}">
              <a16:creationId xmlns:a16="http://schemas.microsoft.com/office/drawing/2014/main" id="{00000000-0008-0000-0A00-0000BD020000}"/>
            </a:ext>
          </a:extLst>
        </xdr:cNvPr>
        <xdr:cNvSpPr/>
      </xdr:nvSpPr>
      <xdr:spPr>
        <a:xfrm>
          <a:off x="12675810" y="179476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113</xdr:row>
      <xdr:rowOff>533618</xdr:rowOff>
    </xdr:from>
    <xdr:to>
      <xdr:col>5</xdr:col>
      <xdr:colOff>2096582</xdr:colOff>
      <xdr:row>113</xdr:row>
      <xdr:rowOff>579337</xdr:rowOff>
    </xdr:to>
    <xdr:sp macro="" textlink="">
      <xdr:nvSpPr>
        <xdr:cNvPr id="702" name="Rectangle 701">
          <a:extLst>
            <a:ext uri="{FF2B5EF4-FFF2-40B4-BE49-F238E27FC236}">
              <a16:creationId xmlns:a16="http://schemas.microsoft.com/office/drawing/2014/main" id="{00000000-0008-0000-0A00-0000BE02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2112818</xdr:colOff>
      <xdr:row>113</xdr:row>
      <xdr:rowOff>294409</xdr:rowOff>
    </xdr:from>
    <xdr:to>
      <xdr:col>5</xdr:col>
      <xdr:colOff>2112820</xdr:colOff>
      <xdr:row>113</xdr:row>
      <xdr:rowOff>1746291</xdr:rowOff>
    </xdr:to>
    <xdr:cxnSp macro="">
      <xdr:nvCxnSpPr>
        <xdr:cNvPr id="705" name="Connecteur droit 704">
          <a:extLst>
            <a:ext uri="{FF2B5EF4-FFF2-40B4-BE49-F238E27FC236}">
              <a16:creationId xmlns:a16="http://schemas.microsoft.com/office/drawing/2014/main" id="{00000000-0008-0000-0A00-0000C1020000}"/>
            </a:ext>
          </a:extLst>
        </xdr:cNvPr>
        <xdr:cNvCxnSpPr/>
      </xdr:nvCxnSpPr>
      <xdr:spPr>
        <a:xfrm flipH="1">
          <a:off x="12806795" y="117573136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762000</xdr:colOff>
      <xdr:row>113</xdr:row>
      <xdr:rowOff>984723</xdr:rowOff>
    </xdr:from>
    <xdr:to>
      <xdr:col>5</xdr:col>
      <xdr:colOff>2107406</xdr:colOff>
      <xdr:row>113</xdr:row>
      <xdr:rowOff>1030442</xdr:rowOff>
    </xdr:to>
    <xdr:sp macro="" textlink="">
      <xdr:nvSpPr>
        <xdr:cNvPr id="706" name="Rectangle 705">
          <a:extLst>
            <a:ext uri="{FF2B5EF4-FFF2-40B4-BE49-F238E27FC236}">
              <a16:creationId xmlns:a16="http://schemas.microsoft.com/office/drawing/2014/main" id="{00000000-0008-0000-0A00-0000C2020000}"/>
            </a:ext>
          </a:extLst>
        </xdr:cNvPr>
        <xdr:cNvSpPr/>
      </xdr:nvSpPr>
      <xdr:spPr>
        <a:xfrm>
          <a:off x="11451167" y="17868947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113</xdr:row>
      <xdr:rowOff>1452313</xdr:rowOff>
    </xdr:from>
    <xdr:to>
      <xdr:col>5</xdr:col>
      <xdr:colOff>2116065</xdr:colOff>
      <xdr:row>113</xdr:row>
      <xdr:rowOff>1498032</xdr:rowOff>
    </xdr:to>
    <xdr:sp macro="" textlink="">
      <xdr:nvSpPr>
        <xdr:cNvPr id="709" name="Rectangle 708">
          <a:extLst>
            <a:ext uri="{FF2B5EF4-FFF2-40B4-BE49-F238E27FC236}">
              <a16:creationId xmlns:a16="http://schemas.microsoft.com/office/drawing/2014/main" id="{00000000-0008-0000-0A00-0000C5020000}"/>
            </a:ext>
          </a:extLst>
        </xdr:cNvPr>
        <xdr:cNvSpPr/>
      </xdr:nvSpPr>
      <xdr:spPr>
        <a:xfrm>
          <a:off x="11459826" y="17915706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747156</xdr:colOff>
      <xdr:row>114</xdr:row>
      <xdr:rowOff>310862</xdr:rowOff>
    </xdr:from>
    <xdr:to>
      <xdr:col>5</xdr:col>
      <xdr:colOff>747158</xdr:colOff>
      <xdr:row>114</xdr:row>
      <xdr:rowOff>1762744</xdr:rowOff>
    </xdr:to>
    <xdr:cxnSp macro="">
      <xdr:nvCxnSpPr>
        <xdr:cNvPr id="712" name="Connecteur droit 711">
          <a:extLst>
            <a:ext uri="{FF2B5EF4-FFF2-40B4-BE49-F238E27FC236}">
              <a16:creationId xmlns:a16="http://schemas.microsoft.com/office/drawing/2014/main" id="{00000000-0008-0000-0A00-0000C8020000}"/>
            </a:ext>
          </a:extLst>
        </xdr:cNvPr>
        <xdr:cNvCxnSpPr/>
      </xdr:nvCxnSpPr>
      <xdr:spPr>
        <a:xfrm flipH="1">
          <a:off x="11441133" y="117589589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114</xdr:row>
      <xdr:rowOff>123825</xdr:rowOff>
    </xdr:from>
    <xdr:to>
      <xdr:col>5</xdr:col>
      <xdr:colOff>1962150</xdr:colOff>
      <xdr:row>114</xdr:row>
      <xdr:rowOff>123825</xdr:rowOff>
    </xdr:to>
    <xdr:cxnSp macro="">
      <xdr:nvCxnSpPr>
        <xdr:cNvPr id="713" name="Connecteur droit 712">
          <a:extLst>
            <a:ext uri="{FF2B5EF4-FFF2-40B4-BE49-F238E27FC236}">
              <a16:creationId xmlns:a16="http://schemas.microsoft.com/office/drawing/2014/main" id="{00000000-0008-0000-0A00-0000C9020000}"/>
            </a:ext>
          </a:extLst>
        </xdr:cNvPr>
        <xdr:cNvCxnSpPr/>
      </xdr:nvCxnSpPr>
      <xdr:spPr>
        <a:xfrm>
          <a:off x="11579802" y="117402552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900793</xdr:colOff>
      <xdr:row>114</xdr:row>
      <xdr:rowOff>1905000</xdr:rowOff>
    </xdr:from>
    <xdr:to>
      <xdr:col>5</xdr:col>
      <xdr:colOff>1977118</xdr:colOff>
      <xdr:row>114</xdr:row>
      <xdr:rowOff>1905000</xdr:rowOff>
    </xdr:to>
    <xdr:cxnSp macro="">
      <xdr:nvCxnSpPr>
        <xdr:cNvPr id="714" name="Connecteur droit 713">
          <a:extLst>
            <a:ext uri="{FF2B5EF4-FFF2-40B4-BE49-F238E27FC236}">
              <a16:creationId xmlns:a16="http://schemas.microsoft.com/office/drawing/2014/main" id="{00000000-0008-0000-0A00-0000CA020000}"/>
            </a:ext>
          </a:extLst>
        </xdr:cNvPr>
        <xdr:cNvCxnSpPr/>
      </xdr:nvCxnSpPr>
      <xdr:spPr>
        <a:xfrm>
          <a:off x="11594770" y="119183727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114</xdr:row>
      <xdr:rowOff>104775</xdr:rowOff>
    </xdr:from>
    <xdr:to>
      <xdr:col>5</xdr:col>
      <xdr:colOff>885825</xdr:colOff>
      <xdr:row>114</xdr:row>
      <xdr:rowOff>257175</xdr:rowOff>
    </xdr:to>
    <xdr:sp macro="" textlink="">
      <xdr:nvSpPr>
        <xdr:cNvPr id="715" name="Rectangle 714">
          <a:extLst>
            <a:ext uri="{FF2B5EF4-FFF2-40B4-BE49-F238E27FC236}">
              <a16:creationId xmlns:a16="http://schemas.microsoft.com/office/drawing/2014/main" id="{00000000-0008-0000-0A00-0000CB020000}"/>
            </a:ext>
          </a:extLst>
        </xdr:cNvPr>
        <xdr:cNvSpPr/>
      </xdr:nvSpPr>
      <xdr:spPr>
        <a:xfrm>
          <a:off x="11427402" y="11738350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114</xdr:row>
      <xdr:rowOff>1771650</xdr:rowOff>
    </xdr:from>
    <xdr:to>
      <xdr:col>5</xdr:col>
      <xdr:colOff>891268</xdr:colOff>
      <xdr:row>114</xdr:row>
      <xdr:rowOff>1924050</xdr:rowOff>
    </xdr:to>
    <xdr:sp macro="" textlink="">
      <xdr:nvSpPr>
        <xdr:cNvPr id="716" name="Rectangle 715">
          <a:extLst>
            <a:ext uri="{FF2B5EF4-FFF2-40B4-BE49-F238E27FC236}">
              <a16:creationId xmlns:a16="http://schemas.microsoft.com/office/drawing/2014/main" id="{00000000-0008-0000-0A00-0000CC020000}"/>
            </a:ext>
          </a:extLst>
        </xdr:cNvPr>
        <xdr:cNvSpPr/>
      </xdr:nvSpPr>
      <xdr:spPr>
        <a:xfrm>
          <a:off x="11432845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114</xdr:row>
      <xdr:rowOff>95250</xdr:rowOff>
    </xdr:from>
    <xdr:to>
      <xdr:col>5</xdr:col>
      <xdr:colOff>2143125</xdr:colOff>
      <xdr:row>114</xdr:row>
      <xdr:rowOff>247650</xdr:rowOff>
    </xdr:to>
    <xdr:sp macro="" textlink="">
      <xdr:nvSpPr>
        <xdr:cNvPr id="717" name="Rectangle 716">
          <a:extLst>
            <a:ext uri="{FF2B5EF4-FFF2-40B4-BE49-F238E27FC236}">
              <a16:creationId xmlns:a16="http://schemas.microsoft.com/office/drawing/2014/main" id="{00000000-0008-0000-0A00-0000CD020000}"/>
            </a:ext>
          </a:extLst>
        </xdr:cNvPr>
        <xdr:cNvSpPr/>
      </xdr:nvSpPr>
      <xdr:spPr>
        <a:xfrm>
          <a:off x="12684702" y="1173739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114</xdr:row>
      <xdr:rowOff>1771650</xdr:rowOff>
    </xdr:from>
    <xdr:to>
      <xdr:col>5</xdr:col>
      <xdr:colOff>2139043</xdr:colOff>
      <xdr:row>114</xdr:row>
      <xdr:rowOff>1924050</xdr:rowOff>
    </xdr:to>
    <xdr:sp macro="" textlink="">
      <xdr:nvSpPr>
        <xdr:cNvPr id="718" name="Rectangle 717">
          <a:extLst>
            <a:ext uri="{FF2B5EF4-FFF2-40B4-BE49-F238E27FC236}">
              <a16:creationId xmlns:a16="http://schemas.microsoft.com/office/drawing/2014/main" id="{00000000-0008-0000-0A00-0000CE020000}"/>
            </a:ext>
          </a:extLst>
        </xdr:cNvPr>
        <xdr:cNvSpPr/>
      </xdr:nvSpPr>
      <xdr:spPr>
        <a:xfrm>
          <a:off x="12680620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114</xdr:row>
      <xdr:rowOff>533618</xdr:rowOff>
    </xdr:from>
    <xdr:to>
      <xdr:col>5</xdr:col>
      <xdr:colOff>2096582</xdr:colOff>
      <xdr:row>114</xdr:row>
      <xdr:rowOff>579337</xdr:rowOff>
    </xdr:to>
    <xdr:sp macro="" textlink="">
      <xdr:nvSpPr>
        <xdr:cNvPr id="719" name="Rectangle 718">
          <a:extLst>
            <a:ext uri="{FF2B5EF4-FFF2-40B4-BE49-F238E27FC236}">
              <a16:creationId xmlns:a16="http://schemas.microsoft.com/office/drawing/2014/main" id="{00000000-0008-0000-0A00-0000CF02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2112818</xdr:colOff>
      <xdr:row>114</xdr:row>
      <xdr:rowOff>294409</xdr:rowOff>
    </xdr:from>
    <xdr:to>
      <xdr:col>5</xdr:col>
      <xdr:colOff>2112820</xdr:colOff>
      <xdr:row>114</xdr:row>
      <xdr:rowOff>1746291</xdr:rowOff>
    </xdr:to>
    <xdr:cxnSp macro="">
      <xdr:nvCxnSpPr>
        <xdr:cNvPr id="722" name="Connecteur droit 721">
          <a:extLst>
            <a:ext uri="{FF2B5EF4-FFF2-40B4-BE49-F238E27FC236}">
              <a16:creationId xmlns:a16="http://schemas.microsoft.com/office/drawing/2014/main" id="{00000000-0008-0000-0A00-0000D2020000}"/>
            </a:ext>
          </a:extLst>
        </xdr:cNvPr>
        <xdr:cNvCxnSpPr/>
      </xdr:nvCxnSpPr>
      <xdr:spPr>
        <a:xfrm flipH="1">
          <a:off x="12806795" y="117573136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762000</xdr:colOff>
      <xdr:row>114</xdr:row>
      <xdr:rowOff>984723</xdr:rowOff>
    </xdr:from>
    <xdr:to>
      <xdr:col>5</xdr:col>
      <xdr:colOff>2107406</xdr:colOff>
      <xdr:row>114</xdr:row>
      <xdr:rowOff>1030442</xdr:rowOff>
    </xdr:to>
    <xdr:sp macro="" textlink="">
      <xdr:nvSpPr>
        <xdr:cNvPr id="723" name="Rectangle 722">
          <a:extLst>
            <a:ext uri="{FF2B5EF4-FFF2-40B4-BE49-F238E27FC236}">
              <a16:creationId xmlns:a16="http://schemas.microsoft.com/office/drawing/2014/main" id="{00000000-0008-0000-0A00-0000D302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984971</xdr:colOff>
      <xdr:row>114</xdr:row>
      <xdr:rowOff>443346</xdr:rowOff>
    </xdr:from>
    <xdr:to>
      <xdr:col>5</xdr:col>
      <xdr:colOff>1219433</xdr:colOff>
      <xdr:row>114</xdr:row>
      <xdr:rowOff>670480</xdr:rowOff>
    </xdr:to>
    <xdr:sp macro="" textlink="">
      <xdr:nvSpPr>
        <xdr:cNvPr id="724" name="Organigramme : Jonction de sommaire 723">
          <a:extLst>
            <a:ext uri="{FF2B5EF4-FFF2-40B4-BE49-F238E27FC236}">
              <a16:creationId xmlns:a16="http://schemas.microsoft.com/office/drawing/2014/main" id="{00000000-0008-0000-0A00-0000D4020000}"/>
            </a:ext>
          </a:extLst>
        </xdr:cNvPr>
        <xdr:cNvSpPr/>
      </xdr:nvSpPr>
      <xdr:spPr>
        <a:xfrm>
          <a:off x="11662496" y="13784147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1600931</xdr:colOff>
      <xdr:row>114</xdr:row>
      <xdr:rowOff>444178</xdr:rowOff>
    </xdr:from>
    <xdr:to>
      <xdr:col>5</xdr:col>
      <xdr:colOff>1835393</xdr:colOff>
      <xdr:row>114</xdr:row>
      <xdr:rowOff>671312</xdr:rowOff>
    </xdr:to>
    <xdr:sp macro="" textlink="">
      <xdr:nvSpPr>
        <xdr:cNvPr id="725" name="Organigramme : Jonction de sommaire 724">
          <a:extLst>
            <a:ext uri="{FF2B5EF4-FFF2-40B4-BE49-F238E27FC236}">
              <a16:creationId xmlns:a16="http://schemas.microsoft.com/office/drawing/2014/main" id="{00000000-0008-0000-0A00-0000D5020000}"/>
            </a:ext>
          </a:extLst>
        </xdr:cNvPr>
        <xdr:cNvSpPr/>
      </xdr:nvSpPr>
      <xdr:spPr>
        <a:xfrm>
          <a:off x="12278456" y="13784230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114</xdr:row>
      <xdr:rowOff>1452313</xdr:rowOff>
    </xdr:from>
    <xdr:to>
      <xdr:col>5</xdr:col>
      <xdr:colOff>2116065</xdr:colOff>
      <xdr:row>114</xdr:row>
      <xdr:rowOff>1498032</xdr:rowOff>
    </xdr:to>
    <xdr:sp macro="" textlink="">
      <xdr:nvSpPr>
        <xdr:cNvPr id="726" name="Rectangle 725">
          <a:extLst>
            <a:ext uri="{FF2B5EF4-FFF2-40B4-BE49-F238E27FC236}">
              <a16:creationId xmlns:a16="http://schemas.microsoft.com/office/drawing/2014/main" id="{00000000-0008-0000-0A00-0000D602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747156</xdr:colOff>
      <xdr:row>115</xdr:row>
      <xdr:rowOff>310862</xdr:rowOff>
    </xdr:from>
    <xdr:to>
      <xdr:col>5</xdr:col>
      <xdr:colOff>747158</xdr:colOff>
      <xdr:row>115</xdr:row>
      <xdr:rowOff>1762744</xdr:rowOff>
    </xdr:to>
    <xdr:cxnSp macro="">
      <xdr:nvCxnSpPr>
        <xdr:cNvPr id="746" name="Connecteur droit 745">
          <a:extLst>
            <a:ext uri="{FF2B5EF4-FFF2-40B4-BE49-F238E27FC236}">
              <a16:creationId xmlns:a16="http://schemas.microsoft.com/office/drawing/2014/main" id="{00000000-0008-0000-0A00-0000EA020000}"/>
            </a:ext>
          </a:extLst>
        </xdr:cNvPr>
        <xdr:cNvCxnSpPr/>
      </xdr:nvCxnSpPr>
      <xdr:spPr>
        <a:xfrm flipH="1">
          <a:off x="11441133" y="117589589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115</xdr:row>
      <xdr:rowOff>123825</xdr:rowOff>
    </xdr:from>
    <xdr:to>
      <xdr:col>5</xdr:col>
      <xdr:colOff>1962150</xdr:colOff>
      <xdr:row>115</xdr:row>
      <xdr:rowOff>123825</xdr:rowOff>
    </xdr:to>
    <xdr:cxnSp macro="">
      <xdr:nvCxnSpPr>
        <xdr:cNvPr id="747" name="Connecteur droit 746">
          <a:extLst>
            <a:ext uri="{FF2B5EF4-FFF2-40B4-BE49-F238E27FC236}">
              <a16:creationId xmlns:a16="http://schemas.microsoft.com/office/drawing/2014/main" id="{00000000-0008-0000-0A00-0000EB020000}"/>
            </a:ext>
          </a:extLst>
        </xdr:cNvPr>
        <xdr:cNvCxnSpPr/>
      </xdr:nvCxnSpPr>
      <xdr:spPr>
        <a:xfrm>
          <a:off x="11579802" y="117402552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900793</xdr:colOff>
      <xdr:row>115</xdr:row>
      <xdr:rowOff>1905000</xdr:rowOff>
    </xdr:from>
    <xdr:to>
      <xdr:col>5</xdr:col>
      <xdr:colOff>1977118</xdr:colOff>
      <xdr:row>115</xdr:row>
      <xdr:rowOff>1905000</xdr:rowOff>
    </xdr:to>
    <xdr:cxnSp macro="">
      <xdr:nvCxnSpPr>
        <xdr:cNvPr id="748" name="Connecteur droit 747">
          <a:extLst>
            <a:ext uri="{FF2B5EF4-FFF2-40B4-BE49-F238E27FC236}">
              <a16:creationId xmlns:a16="http://schemas.microsoft.com/office/drawing/2014/main" id="{00000000-0008-0000-0A00-0000EC020000}"/>
            </a:ext>
          </a:extLst>
        </xdr:cNvPr>
        <xdr:cNvCxnSpPr/>
      </xdr:nvCxnSpPr>
      <xdr:spPr>
        <a:xfrm>
          <a:off x="11594770" y="119183727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115</xdr:row>
      <xdr:rowOff>104775</xdr:rowOff>
    </xdr:from>
    <xdr:to>
      <xdr:col>5</xdr:col>
      <xdr:colOff>885825</xdr:colOff>
      <xdr:row>115</xdr:row>
      <xdr:rowOff>257175</xdr:rowOff>
    </xdr:to>
    <xdr:sp macro="" textlink="">
      <xdr:nvSpPr>
        <xdr:cNvPr id="749" name="Rectangle 748">
          <a:extLst>
            <a:ext uri="{FF2B5EF4-FFF2-40B4-BE49-F238E27FC236}">
              <a16:creationId xmlns:a16="http://schemas.microsoft.com/office/drawing/2014/main" id="{00000000-0008-0000-0A00-0000ED020000}"/>
            </a:ext>
          </a:extLst>
        </xdr:cNvPr>
        <xdr:cNvSpPr/>
      </xdr:nvSpPr>
      <xdr:spPr>
        <a:xfrm>
          <a:off x="11427402" y="117383502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115</xdr:row>
      <xdr:rowOff>1771650</xdr:rowOff>
    </xdr:from>
    <xdr:to>
      <xdr:col>5</xdr:col>
      <xdr:colOff>891268</xdr:colOff>
      <xdr:row>115</xdr:row>
      <xdr:rowOff>1924050</xdr:rowOff>
    </xdr:to>
    <xdr:sp macro="" textlink="">
      <xdr:nvSpPr>
        <xdr:cNvPr id="750" name="Rectangle 749">
          <a:extLst>
            <a:ext uri="{FF2B5EF4-FFF2-40B4-BE49-F238E27FC236}">
              <a16:creationId xmlns:a16="http://schemas.microsoft.com/office/drawing/2014/main" id="{00000000-0008-0000-0A00-0000EE020000}"/>
            </a:ext>
          </a:extLst>
        </xdr:cNvPr>
        <xdr:cNvSpPr/>
      </xdr:nvSpPr>
      <xdr:spPr>
        <a:xfrm>
          <a:off x="11432845" y="119050377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115</xdr:row>
      <xdr:rowOff>95250</xdr:rowOff>
    </xdr:from>
    <xdr:to>
      <xdr:col>5</xdr:col>
      <xdr:colOff>2143125</xdr:colOff>
      <xdr:row>115</xdr:row>
      <xdr:rowOff>247650</xdr:rowOff>
    </xdr:to>
    <xdr:sp macro="" textlink="">
      <xdr:nvSpPr>
        <xdr:cNvPr id="751" name="Rectangle 750">
          <a:extLst>
            <a:ext uri="{FF2B5EF4-FFF2-40B4-BE49-F238E27FC236}">
              <a16:creationId xmlns:a16="http://schemas.microsoft.com/office/drawing/2014/main" id="{00000000-0008-0000-0A00-0000EF020000}"/>
            </a:ext>
          </a:extLst>
        </xdr:cNvPr>
        <xdr:cNvSpPr/>
      </xdr:nvSpPr>
      <xdr:spPr>
        <a:xfrm>
          <a:off x="12684702" y="117373977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115</xdr:row>
      <xdr:rowOff>1771650</xdr:rowOff>
    </xdr:from>
    <xdr:to>
      <xdr:col>5</xdr:col>
      <xdr:colOff>2139043</xdr:colOff>
      <xdr:row>115</xdr:row>
      <xdr:rowOff>1924050</xdr:rowOff>
    </xdr:to>
    <xdr:sp macro="" textlink="">
      <xdr:nvSpPr>
        <xdr:cNvPr id="752" name="Rectangle 751">
          <a:extLst>
            <a:ext uri="{FF2B5EF4-FFF2-40B4-BE49-F238E27FC236}">
              <a16:creationId xmlns:a16="http://schemas.microsoft.com/office/drawing/2014/main" id="{00000000-0008-0000-0A00-0000F0020000}"/>
            </a:ext>
          </a:extLst>
        </xdr:cNvPr>
        <xdr:cNvSpPr/>
      </xdr:nvSpPr>
      <xdr:spPr>
        <a:xfrm>
          <a:off x="12680620" y="119050377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115</xdr:row>
      <xdr:rowOff>533618</xdr:rowOff>
    </xdr:from>
    <xdr:to>
      <xdr:col>5</xdr:col>
      <xdr:colOff>2096582</xdr:colOff>
      <xdr:row>115</xdr:row>
      <xdr:rowOff>579337</xdr:rowOff>
    </xdr:to>
    <xdr:sp macro="" textlink="">
      <xdr:nvSpPr>
        <xdr:cNvPr id="753" name="Rectangle 752">
          <a:extLst>
            <a:ext uri="{FF2B5EF4-FFF2-40B4-BE49-F238E27FC236}">
              <a16:creationId xmlns:a16="http://schemas.microsoft.com/office/drawing/2014/main" id="{00000000-0008-0000-0A00-0000F102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974147</xdr:colOff>
      <xdr:row>115</xdr:row>
      <xdr:rowOff>449441</xdr:rowOff>
    </xdr:from>
    <xdr:to>
      <xdr:col>5</xdr:col>
      <xdr:colOff>1208609</xdr:colOff>
      <xdr:row>115</xdr:row>
      <xdr:rowOff>676575</xdr:rowOff>
    </xdr:to>
    <xdr:sp macro="" textlink="">
      <xdr:nvSpPr>
        <xdr:cNvPr id="754" name="Organigramme : Jonction de sommaire 753">
          <a:extLst>
            <a:ext uri="{FF2B5EF4-FFF2-40B4-BE49-F238E27FC236}">
              <a16:creationId xmlns:a16="http://schemas.microsoft.com/office/drawing/2014/main" id="{00000000-0008-0000-0A00-0000F2020000}"/>
            </a:ext>
          </a:extLst>
        </xdr:cNvPr>
        <xdr:cNvSpPr/>
      </xdr:nvSpPr>
      <xdr:spPr>
        <a:xfrm>
          <a:off x="11668124" y="1177281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1590107</xdr:colOff>
      <xdr:row>115</xdr:row>
      <xdr:rowOff>450273</xdr:rowOff>
    </xdr:from>
    <xdr:to>
      <xdr:col>5</xdr:col>
      <xdr:colOff>1824569</xdr:colOff>
      <xdr:row>115</xdr:row>
      <xdr:rowOff>677407</xdr:rowOff>
    </xdr:to>
    <xdr:sp macro="" textlink="">
      <xdr:nvSpPr>
        <xdr:cNvPr id="755" name="Organigramme : Jonction de sommaire 754">
          <a:extLst>
            <a:ext uri="{FF2B5EF4-FFF2-40B4-BE49-F238E27FC236}">
              <a16:creationId xmlns:a16="http://schemas.microsoft.com/office/drawing/2014/main" id="{00000000-0008-0000-0A00-0000F3020000}"/>
            </a:ext>
          </a:extLst>
        </xdr:cNvPr>
        <xdr:cNvSpPr/>
      </xdr:nvSpPr>
      <xdr:spPr>
        <a:xfrm>
          <a:off x="12284084" y="1177290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2112818</xdr:colOff>
      <xdr:row>115</xdr:row>
      <xdr:rowOff>294409</xdr:rowOff>
    </xdr:from>
    <xdr:to>
      <xdr:col>5</xdr:col>
      <xdr:colOff>2112820</xdr:colOff>
      <xdr:row>115</xdr:row>
      <xdr:rowOff>1746291</xdr:rowOff>
    </xdr:to>
    <xdr:cxnSp macro="">
      <xdr:nvCxnSpPr>
        <xdr:cNvPr id="756" name="Connecteur droit 755">
          <a:extLst>
            <a:ext uri="{FF2B5EF4-FFF2-40B4-BE49-F238E27FC236}">
              <a16:creationId xmlns:a16="http://schemas.microsoft.com/office/drawing/2014/main" id="{00000000-0008-0000-0A00-0000F4020000}"/>
            </a:ext>
          </a:extLst>
        </xdr:cNvPr>
        <xdr:cNvCxnSpPr/>
      </xdr:nvCxnSpPr>
      <xdr:spPr>
        <a:xfrm flipH="1">
          <a:off x="12806795" y="117573136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762000</xdr:colOff>
      <xdr:row>115</xdr:row>
      <xdr:rowOff>984723</xdr:rowOff>
    </xdr:from>
    <xdr:to>
      <xdr:col>5</xdr:col>
      <xdr:colOff>2107406</xdr:colOff>
      <xdr:row>115</xdr:row>
      <xdr:rowOff>1030442</xdr:rowOff>
    </xdr:to>
    <xdr:sp macro="" textlink="">
      <xdr:nvSpPr>
        <xdr:cNvPr id="757" name="Rectangle 756">
          <a:extLst>
            <a:ext uri="{FF2B5EF4-FFF2-40B4-BE49-F238E27FC236}">
              <a16:creationId xmlns:a16="http://schemas.microsoft.com/office/drawing/2014/main" id="{00000000-0008-0000-0A00-0000F502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984971</xdr:colOff>
      <xdr:row>115</xdr:row>
      <xdr:rowOff>900546</xdr:rowOff>
    </xdr:from>
    <xdr:to>
      <xdr:col>5</xdr:col>
      <xdr:colOff>1219433</xdr:colOff>
      <xdr:row>115</xdr:row>
      <xdr:rowOff>1127680</xdr:rowOff>
    </xdr:to>
    <xdr:sp macro="" textlink="">
      <xdr:nvSpPr>
        <xdr:cNvPr id="758" name="Organigramme : Jonction de sommaire 757">
          <a:extLst>
            <a:ext uri="{FF2B5EF4-FFF2-40B4-BE49-F238E27FC236}">
              <a16:creationId xmlns:a16="http://schemas.microsoft.com/office/drawing/2014/main" id="{00000000-0008-0000-0A00-0000F6020000}"/>
            </a:ext>
          </a:extLst>
        </xdr:cNvPr>
        <xdr:cNvSpPr/>
      </xdr:nvSpPr>
      <xdr:spPr>
        <a:xfrm>
          <a:off x="11678948" y="1181792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1600931</xdr:colOff>
      <xdr:row>115</xdr:row>
      <xdr:rowOff>901378</xdr:rowOff>
    </xdr:from>
    <xdr:to>
      <xdr:col>5</xdr:col>
      <xdr:colOff>1835393</xdr:colOff>
      <xdr:row>115</xdr:row>
      <xdr:rowOff>1128512</xdr:rowOff>
    </xdr:to>
    <xdr:sp macro="" textlink="">
      <xdr:nvSpPr>
        <xdr:cNvPr id="759" name="Organigramme : Jonction de sommaire 758">
          <a:extLst>
            <a:ext uri="{FF2B5EF4-FFF2-40B4-BE49-F238E27FC236}">
              <a16:creationId xmlns:a16="http://schemas.microsoft.com/office/drawing/2014/main" id="{00000000-0008-0000-0A00-0000F7020000}"/>
            </a:ext>
          </a:extLst>
        </xdr:cNvPr>
        <xdr:cNvSpPr/>
      </xdr:nvSpPr>
      <xdr:spPr>
        <a:xfrm>
          <a:off x="12294908" y="11818010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115</xdr:row>
      <xdr:rowOff>1452313</xdr:rowOff>
    </xdr:from>
    <xdr:to>
      <xdr:col>5</xdr:col>
      <xdr:colOff>2116065</xdr:colOff>
      <xdr:row>115</xdr:row>
      <xdr:rowOff>1498032</xdr:rowOff>
    </xdr:to>
    <xdr:sp macro="" textlink="">
      <xdr:nvSpPr>
        <xdr:cNvPr id="760" name="Rectangle 759">
          <a:extLst>
            <a:ext uri="{FF2B5EF4-FFF2-40B4-BE49-F238E27FC236}">
              <a16:creationId xmlns:a16="http://schemas.microsoft.com/office/drawing/2014/main" id="{00000000-0008-0000-0A00-0000F802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993630</xdr:colOff>
      <xdr:row>115</xdr:row>
      <xdr:rowOff>1368136</xdr:rowOff>
    </xdr:from>
    <xdr:to>
      <xdr:col>5</xdr:col>
      <xdr:colOff>1228092</xdr:colOff>
      <xdr:row>115</xdr:row>
      <xdr:rowOff>1595270</xdr:rowOff>
    </xdr:to>
    <xdr:sp macro="" textlink="">
      <xdr:nvSpPr>
        <xdr:cNvPr id="761" name="Organigramme : Jonction de sommaire 760">
          <a:extLst>
            <a:ext uri="{FF2B5EF4-FFF2-40B4-BE49-F238E27FC236}">
              <a16:creationId xmlns:a16="http://schemas.microsoft.com/office/drawing/2014/main" id="{00000000-0008-0000-0A00-0000F9020000}"/>
            </a:ext>
          </a:extLst>
        </xdr:cNvPr>
        <xdr:cNvSpPr/>
      </xdr:nvSpPr>
      <xdr:spPr>
        <a:xfrm>
          <a:off x="11687607" y="11864686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1609590</xdr:colOff>
      <xdr:row>115</xdr:row>
      <xdr:rowOff>1368968</xdr:rowOff>
    </xdr:from>
    <xdr:to>
      <xdr:col>5</xdr:col>
      <xdr:colOff>1844052</xdr:colOff>
      <xdr:row>115</xdr:row>
      <xdr:rowOff>1596102</xdr:rowOff>
    </xdr:to>
    <xdr:sp macro="" textlink="">
      <xdr:nvSpPr>
        <xdr:cNvPr id="762" name="Organigramme : Jonction de sommaire 761">
          <a:extLst>
            <a:ext uri="{FF2B5EF4-FFF2-40B4-BE49-F238E27FC236}">
              <a16:creationId xmlns:a16="http://schemas.microsoft.com/office/drawing/2014/main" id="{00000000-0008-0000-0A00-0000FA020000}"/>
            </a:ext>
          </a:extLst>
        </xdr:cNvPr>
        <xdr:cNvSpPr/>
      </xdr:nvSpPr>
      <xdr:spPr>
        <a:xfrm>
          <a:off x="12303567" y="11864769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116</xdr:row>
      <xdr:rowOff>104775</xdr:rowOff>
    </xdr:from>
    <xdr:to>
      <xdr:col>5</xdr:col>
      <xdr:colOff>885825</xdr:colOff>
      <xdr:row>116</xdr:row>
      <xdr:rowOff>257175</xdr:rowOff>
    </xdr:to>
    <xdr:sp macro="" textlink="">
      <xdr:nvSpPr>
        <xdr:cNvPr id="766" name="Rectangle 765">
          <a:extLst>
            <a:ext uri="{FF2B5EF4-FFF2-40B4-BE49-F238E27FC236}">
              <a16:creationId xmlns:a16="http://schemas.microsoft.com/office/drawing/2014/main" id="{00000000-0008-0000-0A00-0000FE020000}"/>
            </a:ext>
          </a:extLst>
        </xdr:cNvPr>
        <xdr:cNvSpPr/>
      </xdr:nvSpPr>
      <xdr:spPr>
        <a:xfrm>
          <a:off x="11427402" y="11738350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116</xdr:row>
      <xdr:rowOff>1771650</xdr:rowOff>
    </xdr:from>
    <xdr:to>
      <xdr:col>5</xdr:col>
      <xdr:colOff>891268</xdr:colOff>
      <xdr:row>116</xdr:row>
      <xdr:rowOff>1924050</xdr:rowOff>
    </xdr:to>
    <xdr:sp macro="" textlink="">
      <xdr:nvSpPr>
        <xdr:cNvPr id="767" name="Rectangle 766">
          <a:extLst>
            <a:ext uri="{FF2B5EF4-FFF2-40B4-BE49-F238E27FC236}">
              <a16:creationId xmlns:a16="http://schemas.microsoft.com/office/drawing/2014/main" id="{00000000-0008-0000-0A00-0000FF020000}"/>
            </a:ext>
          </a:extLst>
        </xdr:cNvPr>
        <xdr:cNvSpPr/>
      </xdr:nvSpPr>
      <xdr:spPr>
        <a:xfrm>
          <a:off x="11432845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116</xdr:row>
      <xdr:rowOff>95250</xdr:rowOff>
    </xdr:from>
    <xdr:to>
      <xdr:col>5</xdr:col>
      <xdr:colOff>2143125</xdr:colOff>
      <xdr:row>116</xdr:row>
      <xdr:rowOff>247650</xdr:rowOff>
    </xdr:to>
    <xdr:sp macro="" textlink="">
      <xdr:nvSpPr>
        <xdr:cNvPr id="768" name="Rectangle 767">
          <a:extLst>
            <a:ext uri="{FF2B5EF4-FFF2-40B4-BE49-F238E27FC236}">
              <a16:creationId xmlns:a16="http://schemas.microsoft.com/office/drawing/2014/main" id="{00000000-0008-0000-0A00-000000030000}"/>
            </a:ext>
          </a:extLst>
        </xdr:cNvPr>
        <xdr:cNvSpPr/>
      </xdr:nvSpPr>
      <xdr:spPr>
        <a:xfrm>
          <a:off x="12684702" y="1173739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116</xdr:row>
      <xdr:rowOff>1771650</xdr:rowOff>
    </xdr:from>
    <xdr:to>
      <xdr:col>5</xdr:col>
      <xdr:colOff>2139043</xdr:colOff>
      <xdr:row>116</xdr:row>
      <xdr:rowOff>1924050</xdr:rowOff>
    </xdr:to>
    <xdr:sp macro="" textlink="">
      <xdr:nvSpPr>
        <xdr:cNvPr id="769" name="Rectangle 768">
          <a:extLst>
            <a:ext uri="{FF2B5EF4-FFF2-40B4-BE49-F238E27FC236}">
              <a16:creationId xmlns:a16="http://schemas.microsoft.com/office/drawing/2014/main" id="{00000000-0008-0000-0A00-000001030000}"/>
            </a:ext>
          </a:extLst>
        </xdr:cNvPr>
        <xdr:cNvSpPr/>
      </xdr:nvSpPr>
      <xdr:spPr>
        <a:xfrm>
          <a:off x="12680620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116</xdr:row>
      <xdr:rowOff>533618</xdr:rowOff>
    </xdr:from>
    <xdr:to>
      <xdr:col>5</xdr:col>
      <xdr:colOff>2096582</xdr:colOff>
      <xdr:row>116</xdr:row>
      <xdr:rowOff>579337</xdr:rowOff>
    </xdr:to>
    <xdr:sp macro="" textlink="">
      <xdr:nvSpPr>
        <xdr:cNvPr id="770" name="Rectangle 769">
          <a:extLst>
            <a:ext uri="{FF2B5EF4-FFF2-40B4-BE49-F238E27FC236}">
              <a16:creationId xmlns:a16="http://schemas.microsoft.com/office/drawing/2014/main" id="{00000000-0008-0000-0A00-00000203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116</xdr:row>
      <xdr:rowOff>984723</xdr:rowOff>
    </xdr:from>
    <xdr:to>
      <xdr:col>5</xdr:col>
      <xdr:colOff>2107406</xdr:colOff>
      <xdr:row>116</xdr:row>
      <xdr:rowOff>1030442</xdr:rowOff>
    </xdr:to>
    <xdr:sp macro="" textlink="">
      <xdr:nvSpPr>
        <xdr:cNvPr id="774" name="Rectangle 773">
          <a:extLst>
            <a:ext uri="{FF2B5EF4-FFF2-40B4-BE49-F238E27FC236}">
              <a16:creationId xmlns:a16="http://schemas.microsoft.com/office/drawing/2014/main" id="{00000000-0008-0000-0A00-00000603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116</xdr:row>
      <xdr:rowOff>1452313</xdr:rowOff>
    </xdr:from>
    <xdr:to>
      <xdr:col>5</xdr:col>
      <xdr:colOff>2116065</xdr:colOff>
      <xdr:row>116</xdr:row>
      <xdr:rowOff>1498032</xdr:rowOff>
    </xdr:to>
    <xdr:sp macro="" textlink="">
      <xdr:nvSpPr>
        <xdr:cNvPr id="777" name="Rectangle 776">
          <a:extLst>
            <a:ext uri="{FF2B5EF4-FFF2-40B4-BE49-F238E27FC236}">
              <a16:creationId xmlns:a16="http://schemas.microsoft.com/office/drawing/2014/main" id="{00000000-0008-0000-0A00-00000903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747156</xdr:colOff>
      <xdr:row>120</xdr:row>
      <xdr:rowOff>310862</xdr:rowOff>
    </xdr:from>
    <xdr:to>
      <xdr:col>5</xdr:col>
      <xdr:colOff>747158</xdr:colOff>
      <xdr:row>120</xdr:row>
      <xdr:rowOff>1762744</xdr:rowOff>
    </xdr:to>
    <xdr:cxnSp macro="">
      <xdr:nvCxnSpPr>
        <xdr:cNvPr id="780" name="Connecteur droit 779">
          <a:extLst>
            <a:ext uri="{FF2B5EF4-FFF2-40B4-BE49-F238E27FC236}">
              <a16:creationId xmlns:a16="http://schemas.microsoft.com/office/drawing/2014/main" id="{00000000-0008-0000-0A00-00000C030000}"/>
            </a:ext>
          </a:extLst>
        </xdr:cNvPr>
        <xdr:cNvCxnSpPr/>
      </xdr:nvCxnSpPr>
      <xdr:spPr>
        <a:xfrm flipH="1">
          <a:off x="11441133" y="117589589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120</xdr:row>
      <xdr:rowOff>123825</xdr:rowOff>
    </xdr:from>
    <xdr:to>
      <xdr:col>5</xdr:col>
      <xdr:colOff>1962150</xdr:colOff>
      <xdr:row>120</xdr:row>
      <xdr:rowOff>123825</xdr:rowOff>
    </xdr:to>
    <xdr:cxnSp macro="">
      <xdr:nvCxnSpPr>
        <xdr:cNvPr id="781" name="Connecteur droit 780">
          <a:extLst>
            <a:ext uri="{FF2B5EF4-FFF2-40B4-BE49-F238E27FC236}">
              <a16:creationId xmlns:a16="http://schemas.microsoft.com/office/drawing/2014/main" id="{00000000-0008-0000-0A00-00000D030000}"/>
            </a:ext>
          </a:extLst>
        </xdr:cNvPr>
        <xdr:cNvCxnSpPr/>
      </xdr:nvCxnSpPr>
      <xdr:spPr>
        <a:xfrm>
          <a:off x="11579802" y="117402552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900793</xdr:colOff>
      <xdr:row>120</xdr:row>
      <xdr:rowOff>1905000</xdr:rowOff>
    </xdr:from>
    <xdr:to>
      <xdr:col>5</xdr:col>
      <xdr:colOff>1977118</xdr:colOff>
      <xdr:row>120</xdr:row>
      <xdr:rowOff>1905000</xdr:rowOff>
    </xdr:to>
    <xdr:cxnSp macro="">
      <xdr:nvCxnSpPr>
        <xdr:cNvPr id="782" name="Connecteur droit 781">
          <a:extLst>
            <a:ext uri="{FF2B5EF4-FFF2-40B4-BE49-F238E27FC236}">
              <a16:creationId xmlns:a16="http://schemas.microsoft.com/office/drawing/2014/main" id="{00000000-0008-0000-0A00-00000E030000}"/>
            </a:ext>
          </a:extLst>
        </xdr:cNvPr>
        <xdr:cNvCxnSpPr/>
      </xdr:nvCxnSpPr>
      <xdr:spPr>
        <a:xfrm>
          <a:off x="11594770" y="119183727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120</xdr:row>
      <xdr:rowOff>104775</xdr:rowOff>
    </xdr:from>
    <xdr:to>
      <xdr:col>5</xdr:col>
      <xdr:colOff>885825</xdr:colOff>
      <xdr:row>120</xdr:row>
      <xdr:rowOff>257175</xdr:rowOff>
    </xdr:to>
    <xdr:sp macro="" textlink="">
      <xdr:nvSpPr>
        <xdr:cNvPr id="783" name="Rectangle 782">
          <a:extLst>
            <a:ext uri="{FF2B5EF4-FFF2-40B4-BE49-F238E27FC236}">
              <a16:creationId xmlns:a16="http://schemas.microsoft.com/office/drawing/2014/main" id="{00000000-0008-0000-0A00-00000F030000}"/>
            </a:ext>
          </a:extLst>
        </xdr:cNvPr>
        <xdr:cNvSpPr/>
      </xdr:nvSpPr>
      <xdr:spPr>
        <a:xfrm>
          <a:off x="11427402" y="11738350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120</xdr:row>
      <xdr:rowOff>1771650</xdr:rowOff>
    </xdr:from>
    <xdr:to>
      <xdr:col>5</xdr:col>
      <xdr:colOff>891268</xdr:colOff>
      <xdr:row>120</xdr:row>
      <xdr:rowOff>1924050</xdr:rowOff>
    </xdr:to>
    <xdr:sp macro="" textlink="">
      <xdr:nvSpPr>
        <xdr:cNvPr id="784" name="Rectangle 783">
          <a:extLst>
            <a:ext uri="{FF2B5EF4-FFF2-40B4-BE49-F238E27FC236}">
              <a16:creationId xmlns:a16="http://schemas.microsoft.com/office/drawing/2014/main" id="{00000000-0008-0000-0A00-000010030000}"/>
            </a:ext>
          </a:extLst>
        </xdr:cNvPr>
        <xdr:cNvSpPr/>
      </xdr:nvSpPr>
      <xdr:spPr>
        <a:xfrm>
          <a:off x="11432845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120</xdr:row>
      <xdr:rowOff>95250</xdr:rowOff>
    </xdr:from>
    <xdr:to>
      <xdr:col>5</xdr:col>
      <xdr:colOff>2143125</xdr:colOff>
      <xdr:row>120</xdr:row>
      <xdr:rowOff>247650</xdr:rowOff>
    </xdr:to>
    <xdr:sp macro="" textlink="">
      <xdr:nvSpPr>
        <xdr:cNvPr id="785" name="Rectangle 784">
          <a:extLst>
            <a:ext uri="{FF2B5EF4-FFF2-40B4-BE49-F238E27FC236}">
              <a16:creationId xmlns:a16="http://schemas.microsoft.com/office/drawing/2014/main" id="{00000000-0008-0000-0A00-000011030000}"/>
            </a:ext>
          </a:extLst>
        </xdr:cNvPr>
        <xdr:cNvSpPr/>
      </xdr:nvSpPr>
      <xdr:spPr>
        <a:xfrm>
          <a:off x="12684702" y="1173739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120</xdr:row>
      <xdr:rowOff>1771650</xdr:rowOff>
    </xdr:from>
    <xdr:to>
      <xdr:col>5</xdr:col>
      <xdr:colOff>2139043</xdr:colOff>
      <xdr:row>120</xdr:row>
      <xdr:rowOff>1924050</xdr:rowOff>
    </xdr:to>
    <xdr:sp macro="" textlink="">
      <xdr:nvSpPr>
        <xdr:cNvPr id="786" name="Rectangle 785">
          <a:extLst>
            <a:ext uri="{FF2B5EF4-FFF2-40B4-BE49-F238E27FC236}">
              <a16:creationId xmlns:a16="http://schemas.microsoft.com/office/drawing/2014/main" id="{00000000-0008-0000-0A00-000012030000}"/>
            </a:ext>
          </a:extLst>
        </xdr:cNvPr>
        <xdr:cNvSpPr/>
      </xdr:nvSpPr>
      <xdr:spPr>
        <a:xfrm>
          <a:off x="12680620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120</xdr:row>
      <xdr:rowOff>533618</xdr:rowOff>
    </xdr:from>
    <xdr:to>
      <xdr:col>5</xdr:col>
      <xdr:colOff>2096582</xdr:colOff>
      <xdr:row>120</xdr:row>
      <xdr:rowOff>579337</xdr:rowOff>
    </xdr:to>
    <xdr:sp macro="" textlink="">
      <xdr:nvSpPr>
        <xdr:cNvPr id="787" name="Rectangle 786">
          <a:extLst>
            <a:ext uri="{FF2B5EF4-FFF2-40B4-BE49-F238E27FC236}">
              <a16:creationId xmlns:a16="http://schemas.microsoft.com/office/drawing/2014/main" id="{00000000-0008-0000-0A00-00001303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2112818</xdr:colOff>
      <xdr:row>120</xdr:row>
      <xdr:rowOff>294409</xdr:rowOff>
    </xdr:from>
    <xdr:to>
      <xdr:col>5</xdr:col>
      <xdr:colOff>2112820</xdr:colOff>
      <xdr:row>120</xdr:row>
      <xdr:rowOff>1746291</xdr:rowOff>
    </xdr:to>
    <xdr:cxnSp macro="">
      <xdr:nvCxnSpPr>
        <xdr:cNvPr id="790" name="Connecteur droit 789">
          <a:extLst>
            <a:ext uri="{FF2B5EF4-FFF2-40B4-BE49-F238E27FC236}">
              <a16:creationId xmlns:a16="http://schemas.microsoft.com/office/drawing/2014/main" id="{00000000-0008-0000-0A00-000016030000}"/>
            </a:ext>
          </a:extLst>
        </xdr:cNvPr>
        <xdr:cNvCxnSpPr/>
      </xdr:nvCxnSpPr>
      <xdr:spPr>
        <a:xfrm flipH="1">
          <a:off x="12806795" y="117573136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762000</xdr:colOff>
      <xdr:row>120</xdr:row>
      <xdr:rowOff>984723</xdr:rowOff>
    </xdr:from>
    <xdr:to>
      <xdr:col>5</xdr:col>
      <xdr:colOff>2107406</xdr:colOff>
      <xdr:row>120</xdr:row>
      <xdr:rowOff>1030442</xdr:rowOff>
    </xdr:to>
    <xdr:sp macro="" textlink="">
      <xdr:nvSpPr>
        <xdr:cNvPr id="791" name="Rectangle 790">
          <a:extLst>
            <a:ext uri="{FF2B5EF4-FFF2-40B4-BE49-F238E27FC236}">
              <a16:creationId xmlns:a16="http://schemas.microsoft.com/office/drawing/2014/main" id="{00000000-0008-0000-0A00-00001703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117</xdr:row>
      <xdr:rowOff>104775</xdr:rowOff>
    </xdr:from>
    <xdr:to>
      <xdr:col>5</xdr:col>
      <xdr:colOff>885825</xdr:colOff>
      <xdr:row>117</xdr:row>
      <xdr:rowOff>257175</xdr:rowOff>
    </xdr:to>
    <xdr:sp macro="" textlink="">
      <xdr:nvSpPr>
        <xdr:cNvPr id="834" name="Rectangle 833">
          <a:extLst>
            <a:ext uri="{FF2B5EF4-FFF2-40B4-BE49-F238E27FC236}">
              <a16:creationId xmlns:a16="http://schemas.microsoft.com/office/drawing/2014/main" id="{00000000-0008-0000-0A00-000042030000}"/>
            </a:ext>
          </a:extLst>
        </xdr:cNvPr>
        <xdr:cNvSpPr/>
      </xdr:nvSpPr>
      <xdr:spPr>
        <a:xfrm>
          <a:off x="11413331" y="133502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117</xdr:row>
      <xdr:rowOff>1771650</xdr:rowOff>
    </xdr:from>
    <xdr:to>
      <xdr:col>5</xdr:col>
      <xdr:colOff>891268</xdr:colOff>
      <xdr:row>117</xdr:row>
      <xdr:rowOff>1924050</xdr:rowOff>
    </xdr:to>
    <xdr:sp macro="" textlink="">
      <xdr:nvSpPr>
        <xdr:cNvPr id="835" name="Rectangle 834">
          <a:extLst>
            <a:ext uri="{FF2B5EF4-FFF2-40B4-BE49-F238E27FC236}">
              <a16:creationId xmlns:a16="http://schemas.microsoft.com/office/drawing/2014/main" id="{00000000-0008-0000-0A00-000043030000}"/>
            </a:ext>
          </a:extLst>
        </xdr:cNvPr>
        <xdr:cNvSpPr/>
      </xdr:nvSpPr>
      <xdr:spPr>
        <a:xfrm>
          <a:off x="11418774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117</xdr:row>
      <xdr:rowOff>95250</xdr:rowOff>
    </xdr:from>
    <xdr:to>
      <xdr:col>5</xdr:col>
      <xdr:colOff>2143125</xdr:colOff>
      <xdr:row>117</xdr:row>
      <xdr:rowOff>247650</xdr:rowOff>
    </xdr:to>
    <xdr:sp macro="" textlink="">
      <xdr:nvSpPr>
        <xdr:cNvPr id="836" name="Rectangle 835">
          <a:extLst>
            <a:ext uri="{FF2B5EF4-FFF2-40B4-BE49-F238E27FC236}">
              <a16:creationId xmlns:a16="http://schemas.microsoft.com/office/drawing/2014/main" id="{00000000-0008-0000-0A00-000044030000}"/>
            </a:ext>
          </a:extLst>
        </xdr:cNvPr>
        <xdr:cNvSpPr/>
      </xdr:nvSpPr>
      <xdr:spPr>
        <a:xfrm>
          <a:off x="12670631" y="1334928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117</xdr:row>
      <xdr:rowOff>1771650</xdr:rowOff>
    </xdr:from>
    <xdr:to>
      <xdr:col>5</xdr:col>
      <xdr:colOff>2139043</xdr:colOff>
      <xdr:row>117</xdr:row>
      <xdr:rowOff>1924050</xdr:rowOff>
    </xdr:to>
    <xdr:sp macro="" textlink="">
      <xdr:nvSpPr>
        <xdr:cNvPr id="837" name="Rectangle 836">
          <a:extLst>
            <a:ext uri="{FF2B5EF4-FFF2-40B4-BE49-F238E27FC236}">
              <a16:creationId xmlns:a16="http://schemas.microsoft.com/office/drawing/2014/main" id="{00000000-0008-0000-0A00-000045030000}"/>
            </a:ext>
          </a:extLst>
        </xdr:cNvPr>
        <xdr:cNvSpPr/>
      </xdr:nvSpPr>
      <xdr:spPr>
        <a:xfrm>
          <a:off x="12666549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117</xdr:row>
      <xdr:rowOff>533618</xdr:rowOff>
    </xdr:from>
    <xdr:to>
      <xdr:col>5</xdr:col>
      <xdr:colOff>2096582</xdr:colOff>
      <xdr:row>117</xdr:row>
      <xdr:rowOff>579337</xdr:rowOff>
    </xdr:to>
    <xdr:sp macro="" textlink="">
      <xdr:nvSpPr>
        <xdr:cNvPr id="838" name="Rectangle 837">
          <a:extLst>
            <a:ext uri="{FF2B5EF4-FFF2-40B4-BE49-F238E27FC236}">
              <a16:creationId xmlns:a16="http://schemas.microsoft.com/office/drawing/2014/main" id="{00000000-0008-0000-0A00-000046030000}"/>
            </a:ext>
          </a:extLst>
        </xdr:cNvPr>
        <xdr:cNvSpPr/>
      </xdr:nvSpPr>
      <xdr:spPr>
        <a:xfrm>
          <a:off x="11431082" y="13393124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117</xdr:row>
      <xdr:rowOff>984723</xdr:rowOff>
    </xdr:from>
    <xdr:to>
      <xdr:col>5</xdr:col>
      <xdr:colOff>2107406</xdr:colOff>
      <xdr:row>117</xdr:row>
      <xdr:rowOff>1030442</xdr:rowOff>
    </xdr:to>
    <xdr:sp macro="" textlink="">
      <xdr:nvSpPr>
        <xdr:cNvPr id="842" name="Rectangle 841">
          <a:extLst>
            <a:ext uri="{FF2B5EF4-FFF2-40B4-BE49-F238E27FC236}">
              <a16:creationId xmlns:a16="http://schemas.microsoft.com/office/drawing/2014/main" id="{00000000-0008-0000-0A00-00004A030000}"/>
            </a:ext>
          </a:extLst>
        </xdr:cNvPr>
        <xdr:cNvSpPr/>
      </xdr:nvSpPr>
      <xdr:spPr>
        <a:xfrm>
          <a:off x="11441906" y="13438234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984971</xdr:colOff>
      <xdr:row>117</xdr:row>
      <xdr:rowOff>443346</xdr:rowOff>
    </xdr:from>
    <xdr:to>
      <xdr:col>5</xdr:col>
      <xdr:colOff>1219433</xdr:colOff>
      <xdr:row>117</xdr:row>
      <xdr:rowOff>670480</xdr:rowOff>
    </xdr:to>
    <xdr:sp macro="" textlink="">
      <xdr:nvSpPr>
        <xdr:cNvPr id="843" name="Organigramme : Jonction de sommaire 842">
          <a:extLst>
            <a:ext uri="{FF2B5EF4-FFF2-40B4-BE49-F238E27FC236}">
              <a16:creationId xmlns:a16="http://schemas.microsoft.com/office/drawing/2014/main" id="{00000000-0008-0000-0A00-00004B030000}"/>
            </a:ext>
          </a:extLst>
        </xdr:cNvPr>
        <xdr:cNvSpPr/>
      </xdr:nvSpPr>
      <xdr:spPr>
        <a:xfrm>
          <a:off x="11662496" y="14595677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1600931</xdr:colOff>
      <xdr:row>117</xdr:row>
      <xdr:rowOff>444178</xdr:rowOff>
    </xdr:from>
    <xdr:to>
      <xdr:col>5</xdr:col>
      <xdr:colOff>1835393</xdr:colOff>
      <xdr:row>117</xdr:row>
      <xdr:rowOff>671312</xdr:rowOff>
    </xdr:to>
    <xdr:sp macro="" textlink="">
      <xdr:nvSpPr>
        <xdr:cNvPr id="844" name="Organigramme : Jonction de sommaire 843">
          <a:extLst>
            <a:ext uri="{FF2B5EF4-FFF2-40B4-BE49-F238E27FC236}">
              <a16:creationId xmlns:a16="http://schemas.microsoft.com/office/drawing/2014/main" id="{00000000-0008-0000-0A00-00004C030000}"/>
            </a:ext>
          </a:extLst>
        </xdr:cNvPr>
        <xdr:cNvSpPr/>
      </xdr:nvSpPr>
      <xdr:spPr>
        <a:xfrm>
          <a:off x="12278456" y="14595760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117</xdr:row>
      <xdr:rowOff>1452313</xdr:rowOff>
    </xdr:from>
    <xdr:to>
      <xdr:col>5</xdr:col>
      <xdr:colOff>2116065</xdr:colOff>
      <xdr:row>117</xdr:row>
      <xdr:rowOff>1498032</xdr:rowOff>
    </xdr:to>
    <xdr:sp macro="" textlink="">
      <xdr:nvSpPr>
        <xdr:cNvPr id="845" name="Rectangle 844">
          <a:extLst>
            <a:ext uri="{FF2B5EF4-FFF2-40B4-BE49-F238E27FC236}">
              <a16:creationId xmlns:a16="http://schemas.microsoft.com/office/drawing/2014/main" id="{00000000-0008-0000-0A00-00004D030000}"/>
            </a:ext>
          </a:extLst>
        </xdr:cNvPr>
        <xdr:cNvSpPr/>
      </xdr:nvSpPr>
      <xdr:spPr>
        <a:xfrm>
          <a:off x="11450565" y="13484993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118</xdr:row>
      <xdr:rowOff>104775</xdr:rowOff>
    </xdr:from>
    <xdr:to>
      <xdr:col>5</xdr:col>
      <xdr:colOff>885825</xdr:colOff>
      <xdr:row>118</xdr:row>
      <xdr:rowOff>257175</xdr:rowOff>
    </xdr:to>
    <xdr:sp macro="" textlink="">
      <xdr:nvSpPr>
        <xdr:cNvPr id="868" name="Rectangle 867">
          <a:extLst>
            <a:ext uri="{FF2B5EF4-FFF2-40B4-BE49-F238E27FC236}">
              <a16:creationId xmlns:a16="http://schemas.microsoft.com/office/drawing/2014/main" id="{00000000-0008-0000-0A00-000064030000}"/>
            </a:ext>
          </a:extLst>
        </xdr:cNvPr>
        <xdr:cNvSpPr/>
      </xdr:nvSpPr>
      <xdr:spPr>
        <a:xfrm>
          <a:off x="11413331" y="133502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118</xdr:row>
      <xdr:rowOff>1771650</xdr:rowOff>
    </xdr:from>
    <xdr:to>
      <xdr:col>5</xdr:col>
      <xdr:colOff>891268</xdr:colOff>
      <xdr:row>118</xdr:row>
      <xdr:rowOff>1924050</xdr:rowOff>
    </xdr:to>
    <xdr:sp macro="" textlink="">
      <xdr:nvSpPr>
        <xdr:cNvPr id="869" name="Rectangle 868">
          <a:extLst>
            <a:ext uri="{FF2B5EF4-FFF2-40B4-BE49-F238E27FC236}">
              <a16:creationId xmlns:a16="http://schemas.microsoft.com/office/drawing/2014/main" id="{00000000-0008-0000-0A00-000065030000}"/>
            </a:ext>
          </a:extLst>
        </xdr:cNvPr>
        <xdr:cNvSpPr/>
      </xdr:nvSpPr>
      <xdr:spPr>
        <a:xfrm>
          <a:off x="11418774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118</xdr:row>
      <xdr:rowOff>95250</xdr:rowOff>
    </xdr:from>
    <xdr:to>
      <xdr:col>5</xdr:col>
      <xdr:colOff>2143125</xdr:colOff>
      <xdr:row>118</xdr:row>
      <xdr:rowOff>247650</xdr:rowOff>
    </xdr:to>
    <xdr:sp macro="" textlink="">
      <xdr:nvSpPr>
        <xdr:cNvPr id="870" name="Rectangle 869">
          <a:extLst>
            <a:ext uri="{FF2B5EF4-FFF2-40B4-BE49-F238E27FC236}">
              <a16:creationId xmlns:a16="http://schemas.microsoft.com/office/drawing/2014/main" id="{00000000-0008-0000-0A00-000066030000}"/>
            </a:ext>
          </a:extLst>
        </xdr:cNvPr>
        <xdr:cNvSpPr/>
      </xdr:nvSpPr>
      <xdr:spPr>
        <a:xfrm>
          <a:off x="12670631" y="1334928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118</xdr:row>
      <xdr:rowOff>1771650</xdr:rowOff>
    </xdr:from>
    <xdr:to>
      <xdr:col>5</xdr:col>
      <xdr:colOff>2139043</xdr:colOff>
      <xdr:row>118</xdr:row>
      <xdr:rowOff>1924050</xdr:rowOff>
    </xdr:to>
    <xdr:sp macro="" textlink="">
      <xdr:nvSpPr>
        <xdr:cNvPr id="871" name="Rectangle 870">
          <a:extLst>
            <a:ext uri="{FF2B5EF4-FFF2-40B4-BE49-F238E27FC236}">
              <a16:creationId xmlns:a16="http://schemas.microsoft.com/office/drawing/2014/main" id="{00000000-0008-0000-0A00-000067030000}"/>
            </a:ext>
          </a:extLst>
        </xdr:cNvPr>
        <xdr:cNvSpPr/>
      </xdr:nvSpPr>
      <xdr:spPr>
        <a:xfrm>
          <a:off x="12666549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118</xdr:row>
      <xdr:rowOff>533618</xdr:rowOff>
    </xdr:from>
    <xdr:to>
      <xdr:col>5</xdr:col>
      <xdr:colOff>2096582</xdr:colOff>
      <xdr:row>118</xdr:row>
      <xdr:rowOff>579337</xdr:rowOff>
    </xdr:to>
    <xdr:sp macro="" textlink="">
      <xdr:nvSpPr>
        <xdr:cNvPr id="872" name="Rectangle 871">
          <a:extLst>
            <a:ext uri="{FF2B5EF4-FFF2-40B4-BE49-F238E27FC236}">
              <a16:creationId xmlns:a16="http://schemas.microsoft.com/office/drawing/2014/main" id="{00000000-0008-0000-0A00-000068030000}"/>
            </a:ext>
          </a:extLst>
        </xdr:cNvPr>
        <xdr:cNvSpPr/>
      </xdr:nvSpPr>
      <xdr:spPr>
        <a:xfrm>
          <a:off x="11431082" y="13393124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974147</xdr:colOff>
      <xdr:row>118</xdr:row>
      <xdr:rowOff>449441</xdr:rowOff>
    </xdr:from>
    <xdr:to>
      <xdr:col>5</xdr:col>
      <xdr:colOff>1208609</xdr:colOff>
      <xdr:row>118</xdr:row>
      <xdr:rowOff>676575</xdr:rowOff>
    </xdr:to>
    <xdr:sp macro="" textlink="">
      <xdr:nvSpPr>
        <xdr:cNvPr id="873" name="Organigramme : Jonction de sommaire 872">
          <a:extLst>
            <a:ext uri="{FF2B5EF4-FFF2-40B4-BE49-F238E27FC236}">
              <a16:creationId xmlns:a16="http://schemas.microsoft.com/office/drawing/2014/main" id="{00000000-0008-0000-0A00-000069030000}"/>
            </a:ext>
          </a:extLst>
        </xdr:cNvPr>
        <xdr:cNvSpPr/>
      </xdr:nvSpPr>
      <xdr:spPr>
        <a:xfrm>
          <a:off x="11654053" y="13384706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1590107</xdr:colOff>
      <xdr:row>118</xdr:row>
      <xdr:rowOff>450273</xdr:rowOff>
    </xdr:from>
    <xdr:to>
      <xdr:col>5</xdr:col>
      <xdr:colOff>1824569</xdr:colOff>
      <xdr:row>118</xdr:row>
      <xdr:rowOff>677407</xdr:rowOff>
    </xdr:to>
    <xdr:sp macro="" textlink="">
      <xdr:nvSpPr>
        <xdr:cNvPr id="874" name="Organigramme : Jonction de sommaire 873">
          <a:extLst>
            <a:ext uri="{FF2B5EF4-FFF2-40B4-BE49-F238E27FC236}">
              <a16:creationId xmlns:a16="http://schemas.microsoft.com/office/drawing/2014/main" id="{00000000-0008-0000-0A00-00006A030000}"/>
            </a:ext>
          </a:extLst>
        </xdr:cNvPr>
        <xdr:cNvSpPr/>
      </xdr:nvSpPr>
      <xdr:spPr>
        <a:xfrm>
          <a:off x="12270013" y="1338478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118</xdr:row>
      <xdr:rowOff>984723</xdr:rowOff>
    </xdr:from>
    <xdr:to>
      <xdr:col>5</xdr:col>
      <xdr:colOff>2107406</xdr:colOff>
      <xdr:row>118</xdr:row>
      <xdr:rowOff>1030442</xdr:rowOff>
    </xdr:to>
    <xdr:sp macro="" textlink="">
      <xdr:nvSpPr>
        <xdr:cNvPr id="876" name="Rectangle 875">
          <a:extLst>
            <a:ext uri="{FF2B5EF4-FFF2-40B4-BE49-F238E27FC236}">
              <a16:creationId xmlns:a16="http://schemas.microsoft.com/office/drawing/2014/main" id="{00000000-0008-0000-0A00-00006C030000}"/>
            </a:ext>
          </a:extLst>
        </xdr:cNvPr>
        <xdr:cNvSpPr/>
      </xdr:nvSpPr>
      <xdr:spPr>
        <a:xfrm>
          <a:off x="11441906" y="13438234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984971</xdr:colOff>
      <xdr:row>118</xdr:row>
      <xdr:rowOff>900546</xdr:rowOff>
    </xdr:from>
    <xdr:to>
      <xdr:col>5</xdr:col>
      <xdr:colOff>1219433</xdr:colOff>
      <xdr:row>118</xdr:row>
      <xdr:rowOff>1127680</xdr:rowOff>
    </xdr:to>
    <xdr:sp macro="" textlink="">
      <xdr:nvSpPr>
        <xdr:cNvPr id="877" name="Organigramme : Jonction de sommaire 876">
          <a:extLst>
            <a:ext uri="{FF2B5EF4-FFF2-40B4-BE49-F238E27FC236}">
              <a16:creationId xmlns:a16="http://schemas.microsoft.com/office/drawing/2014/main" id="{00000000-0008-0000-0A00-00006D030000}"/>
            </a:ext>
          </a:extLst>
        </xdr:cNvPr>
        <xdr:cNvSpPr/>
      </xdr:nvSpPr>
      <xdr:spPr>
        <a:xfrm>
          <a:off x="11664877" y="13429817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1600931</xdr:colOff>
      <xdr:row>118</xdr:row>
      <xdr:rowOff>901378</xdr:rowOff>
    </xdr:from>
    <xdr:to>
      <xdr:col>5</xdr:col>
      <xdr:colOff>1835393</xdr:colOff>
      <xdr:row>118</xdr:row>
      <xdr:rowOff>1128512</xdr:rowOff>
    </xdr:to>
    <xdr:sp macro="" textlink="">
      <xdr:nvSpPr>
        <xdr:cNvPr id="878" name="Organigramme : Jonction de sommaire 877">
          <a:extLst>
            <a:ext uri="{FF2B5EF4-FFF2-40B4-BE49-F238E27FC236}">
              <a16:creationId xmlns:a16="http://schemas.microsoft.com/office/drawing/2014/main" id="{00000000-0008-0000-0A00-00006E030000}"/>
            </a:ext>
          </a:extLst>
        </xdr:cNvPr>
        <xdr:cNvSpPr/>
      </xdr:nvSpPr>
      <xdr:spPr>
        <a:xfrm>
          <a:off x="12280837" y="13429900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118</xdr:row>
      <xdr:rowOff>1452313</xdr:rowOff>
    </xdr:from>
    <xdr:to>
      <xdr:col>5</xdr:col>
      <xdr:colOff>2116065</xdr:colOff>
      <xdr:row>118</xdr:row>
      <xdr:rowOff>1498032</xdr:rowOff>
    </xdr:to>
    <xdr:sp macro="" textlink="">
      <xdr:nvSpPr>
        <xdr:cNvPr id="879" name="Rectangle 878">
          <a:extLst>
            <a:ext uri="{FF2B5EF4-FFF2-40B4-BE49-F238E27FC236}">
              <a16:creationId xmlns:a16="http://schemas.microsoft.com/office/drawing/2014/main" id="{00000000-0008-0000-0A00-00006F030000}"/>
            </a:ext>
          </a:extLst>
        </xdr:cNvPr>
        <xdr:cNvSpPr/>
      </xdr:nvSpPr>
      <xdr:spPr>
        <a:xfrm>
          <a:off x="11450565" y="13484993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993630</xdr:colOff>
      <xdr:row>118</xdr:row>
      <xdr:rowOff>1368136</xdr:rowOff>
    </xdr:from>
    <xdr:to>
      <xdr:col>5</xdr:col>
      <xdr:colOff>1228092</xdr:colOff>
      <xdr:row>118</xdr:row>
      <xdr:rowOff>1595270</xdr:rowOff>
    </xdr:to>
    <xdr:sp macro="" textlink="">
      <xdr:nvSpPr>
        <xdr:cNvPr id="880" name="Organigramme : Jonction de sommaire 879">
          <a:extLst>
            <a:ext uri="{FF2B5EF4-FFF2-40B4-BE49-F238E27FC236}">
              <a16:creationId xmlns:a16="http://schemas.microsoft.com/office/drawing/2014/main" id="{00000000-0008-0000-0A00-000070030000}"/>
            </a:ext>
          </a:extLst>
        </xdr:cNvPr>
        <xdr:cNvSpPr/>
      </xdr:nvSpPr>
      <xdr:spPr>
        <a:xfrm>
          <a:off x="11673536" y="13476576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1609590</xdr:colOff>
      <xdr:row>118</xdr:row>
      <xdr:rowOff>1368968</xdr:rowOff>
    </xdr:from>
    <xdr:to>
      <xdr:col>5</xdr:col>
      <xdr:colOff>1844052</xdr:colOff>
      <xdr:row>118</xdr:row>
      <xdr:rowOff>1596102</xdr:rowOff>
    </xdr:to>
    <xdr:sp macro="" textlink="">
      <xdr:nvSpPr>
        <xdr:cNvPr id="881" name="Organigramme : Jonction de sommaire 880">
          <a:extLst>
            <a:ext uri="{FF2B5EF4-FFF2-40B4-BE49-F238E27FC236}">
              <a16:creationId xmlns:a16="http://schemas.microsoft.com/office/drawing/2014/main" id="{00000000-0008-0000-0A00-000071030000}"/>
            </a:ext>
          </a:extLst>
        </xdr:cNvPr>
        <xdr:cNvSpPr/>
      </xdr:nvSpPr>
      <xdr:spPr>
        <a:xfrm>
          <a:off x="12289496" y="13476659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747156</xdr:colOff>
      <xdr:row>119</xdr:row>
      <xdr:rowOff>310862</xdr:rowOff>
    </xdr:from>
    <xdr:to>
      <xdr:col>5</xdr:col>
      <xdr:colOff>747158</xdr:colOff>
      <xdr:row>119</xdr:row>
      <xdr:rowOff>1762744</xdr:rowOff>
    </xdr:to>
    <xdr:cxnSp macro="">
      <xdr:nvCxnSpPr>
        <xdr:cNvPr id="882" name="Connecteur droit 881">
          <a:extLst>
            <a:ext uri="{FF2B5EF4-FFF2-40B4-BE49-F238E27FC236}">
              <a16:creationId xmlns:a16="http://schemas.microsoft.com/office/drawing/2014/main" id="{00000000-0008-0000-0A00-000072030000}"/>
            </a:ext>
          </a:extLst>
        </xdr:cNvPr>
        <xdr:cNvCxnSpPr/>
      </xdr:nvCxnSpPr>
      <xdr:spPr>
        <a:xfrm flipH="1">
          <a:off x="11427062" y="133708487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119</xdr:row>
      <xdr:rowOff>123825</xdr:rowOff>
    </xdr:from>
    <xdr:to>
      <xdr:col>5</xdr:col>
      <xdr:colOff>1962150</xdr:colOff>
      <xdr:row>119</xdr:row>
      <xdr:rowOff>123825</xdr:rowOff>
    </xdr:to>
    <xdr:cxnSp macro="">
      <xdr:nvCxnSpPr>
        <xdr:cNvPr id="883" name="Connecteur droit 882">
          <a:extLst>
            <a:ext uri="{FF2B5EF4-FFF2-40B4-BE49-F238E27FC236}">
              <a16:creationId xmlns:a16="http://schemas.microsoft.com/office/drawing/2014/main" id="{00000000-0008-0000-0A00-000073030000}"/>
            </a:ext>
          </a:extLst>
        </xdr:cNvPr>
        <xdr:cNvCxnSpPr/>
      </xdr:nvCxnSpPr>
      <xdr:spPr>
        <a:xfrm>
          <a:off x="11565731" y="133521450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900793</xdr:colOff>
      <xdr:row>119</xdr:row>
      <xdr:rowOff>1905000</xdr:rowOff>
    </xdr:from>
    <xdr:to>
      <xdr:col>5</xdr:col>
      <xdr:colOff>1977118</xdr:colOff>
      <xdr:row>119</xdr:row>
      <xdr:rowOff>1905000</xdr:rowOff>
    </xdr:to>
    <xdr:cxnSp macro="">
      <xdr:nvCxnSpPr>
        <xdr:cNvPr id="884" name="Connecteur droit 883">
          <a:extLst>
            <a:ext uri="{FF2B5EF4-FFF2-40B4-BE49-F238E27FC236}">
              <a16:creationId xmlns:a16="http://schemas.microsoft.com/office/drawing/2014/main" id="{00000000-0008-0000-0A00-000074030000}"/>
            </a:ext>
          </a:extLst>
        </xdr:cNvPr>
        <xdr:cNvCxnSpPr/>
      </xdr:nvCxnSpPr>
      <xdr:spPr>
        <a:xfrm>
          <a:off x="11580699" y="135302625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119</xdr:row>
      <xdr:rowOff>104775</xdr:rowOff>
    </xdr:from>
    <xdr:to>
      <xdr:col>5</xdr:col>
      <xdr:colOff>885825</xdr:colOff>
      <xdr:row>119</xdr:row>
      <xdr:rowOff>257175</xdr:rowOff>
    </xdr:to>
    <xdr:sp macro="" textlink="">
      <xdr:nvSpPr>
        <xdr:cNvPr id="885" name="Rectangle 884">
          <a:extLst>
            <a:ext uri="{FF2B5EF4-FFF2-40B4-BE49-F238E27FC236}">
              <a16:creationId xmlns:a16="http://schemas.microsoft.com/office/drawing/2014/main" id="{00000000-0008-0000-0A00-000075030000}"/>
            </a:ext>
          </a:extLst>
        </xdr:cNvPr>
        <xdr:cNvSpPr/>
      </xdr:nvSpPr>
      <xdr:spPr>
        <a:xfrm>
          <a:off x="11413331" y="133502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119</xdr:row>
      <xdr:rowOff>1771650</xdr:rowOff>
    </xdr:from>
    <xdr:to>
      <xdr:col>5</xdr:col>
      <xdr:colOff>891268</xdr:colOff>
      <xdr:row>119</xdr:row>
      <xdr:rowOff>1924050</xdr:rowOff>
    </xdr:to>
    <xdr:sp macro="" textlink="">
      <xdr:nvSpPr>
        <xdr:cNvPr id="886" name="Rectangle 885">
          <a:extLst>
            <a:ext uri="{FF2B5EF4-FFF2-40B4-BE49-F238E27FC236}">
              <a16:creationId xmlns:a16="http://schemas.microsoft.com/office/drawing/2014/main" id="{00000000-0008-0000-0A00-000076030000}"/>
            </a:ext>
          </a:extLst>
        </xdr:cNvPr>
        <xdr:cNvSpPr/>
      </xdr:nvSpPr>
      <xdr:spPr>
        <a:xfrm>
          <a:off x="11418774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119</xdr:row>
      <xdr:rowOff>95250</xdr:rowOff>
    </xdr:from>
    <xdr:to>
      <xdr:col>5</xdr:col>
      <xdr:colOff>2143125</xdr:colOff>
      <xdr:row>119</xdr:row>
      <xdr:rowOff>247650</xdr:rowOff>
    </xdr:to>
    <xdr:sp macro="" textlink="">
      <xdr:nvSpPr>
        <xdr:cNvPr id="887" name="Rectangle 886">
          <a:extLst>
            <a:ext uri="{FF2B5EF4-FFF2-40B4-BE49-F238E27FC236}">
              <a16:creationId xmlns:a16="http://schemas.microsoft.com/office/drawing/2014/main" id="{00000000-0008-0000-0A00-000077030000}"/>
            </a:ext>
          </a:extLst>
        </xdr:cNvPr>
        <xdr:cNvSpPr/>
      </xdr:nvSpPr>
      <xdr:spPr>
        <a:xfrm>
          <a:off x="12670631" y="1334928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119</xdr:row>
      <xdr:rowOff>1771650</xdr:rowOff>
    </xdr:from>
    <xdr:to>
      <xdr:col>5</xdr:col>
      <xdr:colOff>2139043</xdr:colOff>
      <xdr:row>119</xdr:row>
      <xdr:rowOff>1924050</xdr:rowOff>
    </xdr:to>
    <xdr:sp macro="" textlink="">
      <xdr:nvSpPr>
        <xdr:cNvPr id="888" name="Rectangle 887">
          <a:extLst>
            <a:ext uri="{FF2B5EF4-FFF2-40B4-BE49-F238E27FC236}">
              <a16:creationId xmlns:a16="http://schemas.microsoft.com/office/drawing/2014/main" id="{00000000-0008-0000-0A00-000078030000}"/>
            </a:ext>
          </a:extLst>
        </xdr:cNvPr>
        <xdr:cNvSpPr/>
      </xdr:nvSpPr>
      <xdr:spPr>
        <a:xfrm>
          <a:off x="12666549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119</xdr:row>
      <xdr:rowOff>533618</xdr:rowOff>
    </xdr:from>
    <xdr:to>
      <xdr:col>5</xdr:col>
      <xdr:colOff>2096582</xdr:colOff>
      <xdr:row>119</xdr:row>
      <xdr:rowOff>579337</xdr:rowOff>
    </xdr:to>
    <xdr:sp macro="" textlink="">
      <xdr:nvSpPr>
        <xdr:cNvPr id="889" name="Rectangle 888">
          <a:extLst>
            <a:ext uri="{FF2B5EF4-FFF2-40B4-BE49-F238E27FC236}">
              <a16:creationId xmlns:a16="http://schemas.microsoft.com/office/drawing/2014/main" id="{00000000-0008-0000-0A00-000079030000}"/>
            </a:ext>
          </a:extLst>
        </xdr:cNvPr>
        <xdr:cNvSpPr/>
      </xdr:nvSpPr>
      <xdr:spPr>
        <a:xfrm>
          <a:off x="11431082" y="13393124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2112818</xdr:colOff>
      <xdr:row>119</xdr:row>
      <xdr:rowOff>294409</xdr:rowOff>
    </xdr:from>
    <xdr:to>
      <xdr:col>5</xdr:col>
      <xdr:colOff>2112820</xdr:colOff>
      <xdr:row>119</xdr:row>
      <xdr:rowOff>1746291</xdr:rowOff>
    </xdr:to>
    <xdr:cxnSp macro="">
      <xdr:nvCxnSpPr>
        <xdr:cNvPr id="892" name="Connecteur droit 891">
          <a:extLst>
            <a:ext uri="{FF2B5EF4-FFF2-40B4-BE49-F238E27FC236}">
              <a16:creationId xmlns:a16="http://schemas.microsoft.com/office/drawing/2014/main" id="{00000000-0008-0000-0A00-00007C030000}"/>
            </a:ext>
          </a:extLst>
        </xdr:cNvPr>
        <xdr:cNvCxnSpPr/>
      </xdr:nvCxnSpPr>
      <xdr:spPr>
        <a:xfrm flipH="1">
          <a:off x="12792724" y="133692034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762000</xdr:colOff>
      <xdr:row>119</xdr:row>
      <xdr:rowOff>984723</xdr:rowOff>
    </xdr:from>
    <xdr:to>
      <xdr:col>5</xdr:col>
      <xdr:colOff>2107406</xdr:colOff>
      <xdr:row>119</xdr:row>
      <xdr:rowOff>1030442</xdr:rowOff>
    </xdr:to>
    <xdr:sp macro="" textlink="">
      <xdr:nvSpPr>
        <xdr:cNvPr id="893" name="Rectangle 892">
          <a:extLst>
            <a:ext uri="{FF2B5EF4-FFF2-40B4-BE49-F238E27FC236}">
              <a16:creationId xmlns:a16="http://schemas.microsoft.com/office/drawing/2014/main" id="{00000000-0008-0000-0A00-00007D030000}"/>
            </a:ext>
          </a:extLst>
        </xdr:cNvPr>
        <xdr:cNvSpPr/>
      </xdr:nvSpPr>
      <xdr:spPr>
        <a:xfrm>
          <a:off x="11441906" y="13438234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119</xdr:row>
      <xdr:rowOff>1452313</xdr:rowOff>
    </xdr:from>
    <xdr:to>
      <xdr:col>5</xdr:col>
      <xdr:colOff>2116065</xdr:colOff>
      <xdr:row>119</xdr:row>
      <xdr:rowOff>1498032</xdr:rowOff>
    </xdr:to>
    <xdr:sp macro="" textlink="">
      <xdr:nvSpPr>
        <xdr:cNvPr id="896" name="Rectangle 895">
          <a:extLst>
            <a:ext uri="{FF2B5EF4-FFF2-40B4-BE49-F238E27FC236}">
              <a16:creationId xmlns:a16="http://schemas.microsoft.com/office/drawing/2014/main" id="{00000000-0008-0000-0A00-000080030000}"/>
            </a:ext>
          </a:extLst>
        </xdr:cNvPr>
        <xdr:cNvSpPr/>
      </xdr:nvSpPr>
      <xdr:spPr>
        <a:xfrm>
          <a:off x="11450565" y="13484993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747156</xdr:colOff>
      <xdr:row>121</xdr:row>
      <xdr:rowOff>310862</xdr:rowOff>
    </xdr:from>
    <xdr:to>
      <xdr:col>5</xdr:col>
      <xdr:colOff>747158</xdr:colOff>
      <xdr:row>121</xdr:row>
      <xdr:rowOff>1762744</xdr:rowOff>
    </xdr:to>
    <xdr:cxnSp macro="">
      <xdr:nvCxnSpPr>
        <xdr:cNvPr id="899" name="Connecteur droit 898">
          <a:extLst>
            <a:ext uri="{FF2B5EF4-FFF2-40B4-BE49-F238E27FC236}">
              <a16:creationId xmlns:a16="http://schemas.microsoft.com/office/drawing/2014/main" id="{00000000-0008-0000-0A00-000083030000}"/>
            </a:ext>
          </a:extLst>
        </xdr:cNvPr>
        <xdr:cNvCxnSpPr/>
      </xdr:nvCxnSpPr>
      <xdr:spPr>
        <a:xfrm flipH="1">
          <a:off x="11427062" y="159902237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885825</xdr:colOff>
      <xdr:row>121</xdr:row>
      <xdr:rowOff>123825</xdr:rowOff>
    </xdr:from>
    <xdr:to>
      <xdr:col>5</xdr:col>
      <xdr:colOff>1962150</xdr:colOff>
      <xdr:row>121</xdr:row>
      <xdr:rowOff>123825</xdr:rowOff>
    </xdr:to>
    <xdr:cxnSp macro="">
      <xdr:nvCxnSpPr>
        <xdr:cNvPr id="900" name="Connecteur droit 899">
          <a:extLst>
            <a:ext uri="{FF2B5EF4-FFF2-40B4-BE49-F238E27FC236}">
              <a16:creationId xmlns:a16="http://schemas.microsoft.com/office/drawing/2014/main" id="{00000000-0008-0000-0A00-000084030000}"/>
            </a:ext>
          </a:extLst>
        </xdr:cNvPr>
        <xdr:cNvCxnSpPr/>
      </xdr:nvCxnSpPr>
      <xdr:spPr>
        <a:xfrm>
          <a:off x="11565731" y="159715200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900793</xdr:colOff>
      <xdr:row>121</xdr:row>
      <xdr:rowOff>1905000</xdr:rowOff>
    </xdr:from>
    <xdr:to>
      <xdr:col>5</xdr:col>
      <xdr:colOff>1977118</xdr:colOff>
      <xdr:row>121</xdr:row>
      <xdr:rowOff>1905000</xdr:rowOff>
    </xdr:to>
    <xdr:cxnSp macro="">
      <xdr:nvCxnSpPr>
        <xdr:cNvPr id="901" name="Connecteur droit 900">
          <a:extLst>
            <a:ext uri="{FF2B5EF4-FFF2-40B4-BE49-F238E27FC236}">
              <a16:creationId xmlns:a16="http://schemas.microsoft.com/office/drawing/2014/main" id="{00000000-0008-0000-0A00-000085030000}"/>
            </a:ext>
          </a:extLst>
        </xdr:cNvPr>
        <xdr:cNvCxnSpPr/>
      </xdr:nvCxnSpPr>
      <xdr:spPr>
        <a:xfrm>
          <a:off x="11580699" y="161496375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121</xdr:row>
      <xdr:rowOff>104775</xdr:rowOff>
    </xdr:from>
    <xdr:to>
      <xdr:col>5</xdr:col>
      <xdr:colOff>885825</xdr:colOff>
      <xdr:row>121</xdr:row>
      <xdr:rowOff>257175</xdr:rowOff>
    </xdr:to>
    <xdr:sp macro="" textlink="">
      <xdr:nvSpPr>
        <xdr:cNvPr id="902" name="Rectangle 901">
          <a:extLst>
            <a:ext uri="{FF2B5EF4-FFF2-40B4-BE49-F238E27FC236}">
              <a16:creationId xmlns:a16="http://schemas.microsoft.com/office/drawing/2014/main" id="{00000000-0008-0000-0A00-000086030000}"/>
            </a:ext>
          </a:extLst>
        </xdr:cNvPr>
        <xdr:cNvSpPr/>
      </xdr:nvSpPr>
      <xdr:spPr>
        <a:xfrm>
          <a:off x="11413331" y="1596961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121</xdr:row>
      <xdr:rowOff>1771650</xdr:rowOff>
    </xdr:from>
    <xdr:to>
      <xdr:col>5</xdr:col>
      <xdr:colOff>891268</xdr:colOff>
      <xdr:row>121</xdr:row>
      <xdr:rowOff>1924050</xdr:rowOff>
    </xdr:to>
    <xdr:sp macro="" textlink="">
      <xdr:nvSpPr>
        <xdr:cNvPr id="903" name="Rectangle 902">
          <a:extLst>
            <a:ext uri="{FF2B5EF4-FFF2-40B4-BE49-F238E27FC236}">
              <a16:creationId xmlns:a16="http://schemas.microsoft.com/office/drawing/2014/main" id="{00000000-0008-0000-0A00-000087030000}"/>
            </a:ext>
          </a:extLst>
        </xdr:cNvPr>
        <xdr:cNvSpPr/>
      </xdr:nvSpPr>
      <xdr:spPr>
        <a:xfrm>
          <a:off x="11418774" y="161363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121</xdr:row>
      <xdr:rowOff>95250</xdr:rowOff>
    </xdr:from>
    <xdr:to>
      <xdr:col>5</xdr:col>
      <xdr:colOff>2143125</xdr:colOff>
      <xdr:row>121</xdr:row>
      <xdr:rowOff>247650</xdr:rowOff>
    </xdr:to>
    <xdr:sp macro="" textlink="">
      <xdr:nvSpPr>
        <xdr:cNvPr id="904" name="Rectangle 903">
          <a:extLst>
            <a:ext uri="{FF2B5EF4-FFF2-40B4-BE49-F238E27FC236}">
              <a16:creationId xmlns:a16="http://schemas.microsoft.com/office/drawing/2014/main" id="{00000000-0008-0000-0A00-000088030000}"/>
            </a:ext>
          </a:extLst>
        </xdr:cNvPr>
        <xdr:cNvSpPr/>
      </xdr:nvSpPr>
      <xdr:spPr>
        <a:xfrm>
          <a:off x="12670631" y="1596866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121</xdr:row>
      <xdr:rowOff>1771650</xdr:rowOff>
    </xdr:from>
    <xdr:to>
      <xdr:col>5</xdr:col>
      <xdr:colOff>2139043</xdr:colOff>
      <xdr:row>121</xdr:row>
      <xdr:rowOff>1924050</xdr:rowOff>
    </xdr:to>
    <xdr:sp macro="" textlink="">
      <xdr:nvSpPr>
        <xdr:cNvPr id="905" name="Rectangle 904">
          <a:extLst>
            <a:ext uri="{FF2B5EF4-FFF2-40B4-BE49-F238E27FC236}">
              <a16:creationId xmlns:a16="http://schemas.microsoft.com/office/drawing/2014/main" id="{00000000-0008-0000-0A00-000089030000}"/>
            </a:ext>
          </a:extLst>
        </xdr:cNvPr>
        <xdr:cNvSpPr/>
      </xdr:nvSpPr>
      <xdr:spPr>
        <a:xfrm>
          <a:off x="12666549" y="161363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121</xdr:row>
      <xdr:rowOff>533618</xdr:rowOff>
    </xdr:from>
    <xdr:to>
      <xdr:col>5</xdr:col>
      <xdr:colOff>2096582</xdr:colOff>
      <xdr:row>121</xdr:row>
      <xdr:rowOff>579337</xdr:rowOff>
    </xdr:to>
    <xdr:sp macro="" textlink="">
      <xdr:nvSpPr>
        <xdr:cNvPr id="906" name="Rectangle 905">
          <a:extLst>
            <a:ext uri="{FF2B5EF4-FFF2-40B4-BE49-F238E27FC236}">
              <a16:creationId xmlns:a16="http://schemas.microsoft.com/office/drawing/2014/main" id="{00000000-0008-0000-0A00-00008A030000}"/>
            </a:ext>
          </a:extLst>
        </xdr:cNvPr>
        <xdr:cNvSpPr/>
      </xdr:nvSpPr>
      <xdr:spPr>
        <a:xfrm>
          <a:off x="11431082" y="16012499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974147</xdr:colOff>
      <xdr:row>121</xdr:row>
      <xdr:rowOff>449441</xdr:rowOff>
    </xdr:from>
    <xdr:to>
      <xdr:col>5</xdr:col>
      <xdr:colOff>1208609</xdr:colOff>
      <xdr:row>121</xdr:row>
      <xdr:rowOff>676575</xdr:rowOff>
    </xdr:to>
    <xdr:sp macro="" textlink="">
      <xdr:nvSpPr>
        <xdr:cNvPr id="907" name="Organigramme : Jonction de sommaire 906">
          <a:extLst>
            <a:ext uri="{FF2B5EF4-FFF2-40B4-BE49-F238E27FC236}">
              <a16:creationId xmlns:a16="http://schemas.microsoft.com/office/drawing/2014/main" id="{00000000-0008-0000-0A00-00008B030000}"/>
            </a:ext>
          </a:extLst>
        </xdr:cNvPr>
        <xdr:cNvSpPr/>
      </xdr:nvSpPr>
      <xdr:spPr>
        <a:xfrm>
          <a:off x="11654053" y="16004081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1590107</xdr:colOff>
      <xdr:row>121</xdr:row>
      <xdr:rowOff>450273</xdr:rowOff>
    </xdr:from>
    <xdr:to>
      <xdr:col>5</xdr:col>
      <xdr:colOff>1824569</xdr:colOff>
      <xdr:row>121</xdr:row>
      <xdr:rowOff>677407</xdr:rowOff>
    </xdr:to>
    <xdr:sp macro="" textlink="">
      <xdr:nvSpPr>
        <xdr:cNvPr id="908" name="Organigramme : Jonction de sommaire 907">
          <a:extLst>
            <a:ext uri="{FF2B5EF4-FFF2-40B4-BE49-F238E27FC236}">
              <a16:creationId xmlns:a16="http://schemas.microsoft.com/office/drawing/2014/main" id="{00000000-0008-0000-0A00-00008C030000}"/>
            </a:ext>
          </a:extLst>
        </xdr:cNvPr>
        <xdr:cNvSpPr/>
      </xdr:nvSpPr>
      <xdr:spPr>
        <a:xfrm>
          <a:off x="12270013" y="16004164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2112818</xdr:colOff>
      <xdr:row>121</xdr:row>
      <xdr:rowOff>294409</xdr:rowOff>
    </xdr:from>
    <xdr:to>
      <xdr:col>5</xdr:col>
      <xdr:colOff>2112820</xdr:colOff>
      <xdr:row>121</xdr:row>
      <xdr:rowOff>1746291</xdr:rowOff>
    </xdr:to>
    <xdr:cxnSp macro="">
      <xdr:nvCxnSpPr>
        <xdr:cNvPr id="909" name="Connecteur droit 908">
          <a:extLst>
            <a:ext uri="{FF2B5EF4-FFF2-40B4-BE49-F238E27FC236}">
              <a16:creationId xmlns:a16="http://schemas.microsoft.com/office/drawing/2014/main" id="{00000000-0008-0000-0A00-00008D030000}"/>
            </a:ext>
          </a:extLst>
        </xdr:cNvPr>
        <xdr:cNvCxnSpPr/>
      </xdr:nvCxnSpPr>
      <xdr:spPr>
        <a:xfrm flipH="1">
          <a:off x="12792724" y="159885784"/>
          <a:ext cx="2" cy="1451882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762000</xdr:colOff>
      <xdr:row>121</xdr:row>
      <xdr:rowOff>984723</xdr:rowOff>
    </xdr:from>
    <xdr:to>
      <xdr:col>5</xdr:col>
      <xdr:colOff>2107406</xdr:colOff>
      <xdr:row>121</xdr:row>
      <xdr:rowOff>1030442</xdr:rowOff>
    </xdr:to>
    <xdr:sp macro="" textlink="">
      <xdr:nvSpPr>
        <xdr:cNvPr id="910" name="Rectangle 909">
          <a:extLst>
            <a:ext uri="{FF2B5EF4-FFF2-40B4-BE49-F238E27FC236}">
              <a16:creationId xmlns:a16="http://schemas.microsoft.com/office/drawing/2014/main" id="{00000000-0008-0000-0A00-00008E030000}"/>
            </a:ext>
          </a:extLst>
        </xdr:cNvPr>
        <xdr:cNvSpPr/>
      </xdr:nvSpPr>
      <xdr:spPr>
        <a:xfrm>
          <a:off x="11441906" y="16057609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984971</xdr:colOff>
      <xdr:row>121</xdr:row>
      <xdr:rowOff>900546</xdr:rowOff>
    </xdr:from>
    <xdr:to>
      <xdr:col>5</xdr:col>
      <xdr:colOff>1219433</xdr:colOff>
      <xdr:row>121</xdr:row>
      <xdr:rowOff>1127680</xdr:rowOff>
    </xdr:to>
    <xdr:sp macro="" textlink="">
      <xdr:nvSpPr>
        <xdr:cNvPr id="911" name="Organigramme : Jonction de sommaire 910">
          <a:extLst>
            <a:ext uri="{FF2B5EF4-FFF2-40B4-BE49-F238E27FC236}">
              <a16:creationId xmlns:a16="http://schemas.microsoft.com/office/drawing/2014/main" id="{00000000-0008-0000-0A00-00008F030000}"/>
            </a:ext>
          </a:extLst>
        </xdr:cNvPr>
        <xdr:cNvSpPr/>
      </xdr:nvSpPr>
      <xdr:spPr>
        <a:xfrm>
          <a:off x="11664877" y="16049192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1600931</xdr:colOff>
      <xdr:row>121</xdr:row>
      <xdr:rowOff>901378</xdr:rowOff>
    </xdr:from>
    <xdr:to>
      <xdr:col>5</xdr:col>
      <xdr:colOff>1835393</xdr:colOff>
      <xdr:row>121</xdr:row>
      <xdr:rowOff>1128512</xdr:rowOff>
    </xdr:to>
    <xdr:sp macro="" textlink="">
      <xdr:nvSpPr>
        <xdr:cNvPr id="912" name="Organigramme : Jonction de sommaire 911">
          <a:extLst>
            <a:ext uri="{FF2B5EF4-FFF2-40B4-BE49-F238E27FC236}">
              <a16:creationId xmlns:a16="http://schemas.microsoft.com/office/drawing/2014/main" id="{00000000-0008-0000-0A00-000090030000}"/>
            </a:ext>
          </a:extLst>
        </xdr:cNvPr>
        <xdr:cNvSpPr/>
      </xdr:nvSpPr>
      <xdr:spPr>
        <a:xfrm>
          <a:off x="12280837" y="16049275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121</xdr:row>
      <xdr:rowOff>1452313</xdr:rowOff>
    </xdr:from>
    <xdr:to>
      <xdr:col>5</xdr:col>
      <xdr:colOff>2116065</xdr:colOff>
      <xdr:row>121</xdr:row>
      <xdr:rowOff>1498032</xdr:rowOff>
    </xdr:to>
    <xdr:sp macro="" textlink="">
      <xdr:nvSpPr>
        <xdr:cNvPr id="913" name="Rectangle 912">
          <a:extLst>
            <a:ext uri="{FF2B5EF4-FFF2-40B4-BE49-F238E27FC236}">
              <a16:creationId xmlns:a16="http://schemas.microsoft.com/office/drawing/2014/main" id="{00000000-0008-0000-0A00-000091030000}"/>
            </a:ext>
          </a:extLst>
        </xdr:cNvPr>
        <xdr:cNvSpPr/>
      </xdr:nvSpPr>
      <xdr:spPr>
        <a:xfrm>
          <a:off x="11450565" y="16104368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993630</xdr:colOff>
      <xdr:row>121</xdr:row>
      <xdr:rowOff>1368136</xdr:rowOff>
    </xdr:from>
    <xdr:to>
      <xdr:col>5</xdr:col>
      <xdr:colOff>1228092</xdr:colOff>
      <xdr:row>121</xdr:row>
      <xdr:rowOff>1595270</xdr:rowOff>
    </xdr:to>
    <xdr:sp macro="" textlink="">
      <xdr:nvSpPr>
        <xdr:cNvPr id="914" name="Organigramme : Jonction de sommaire 913">
          <a:extLst>
            <a:ext uri="{FF2B5EF4-FFF2-40B4-BE49-F238E27FC236}">
              <a16:creationId xmlns:a16="http://schemas.microsoft.com/office/drawing/2014/main" id="{00000000-0008-0000-0A00-000092030000}"/>
            </a:ext>
          </a:extLst>
        </xdr:cNvPr>
        <xdr:cNvSpPr/>
      </xdr:nvSpPr>
      <xdr:spPr>
        <a:xfrm>
          <a:off x="11673536" y="16095951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1609590</xdr:colOff>
      <xdr:row>121</xdr:row>
      <xdr:rowOff>1368968</xdr:rowOff>
    </xdr:from>
    <xdr:to>
      <xdr:col>5</xdr:col>
      <xdr:colOff>1844052</xdr:colOff>
      <xdr:row>121</xdr:row>
      <xdr:rowOff>1596102</xdr:rowOff>
    </xdr:to>
    <xdr:sp macro="" textlink="">
      <xdr:nvSpPr>
        <xdr:cNvPr id="915" name="Organigramme : Jonction de sommaire 914">
          <a:extLst>
            <a:ext uri="{FF2B5EF4-FFF2-40B4-BE49-F238E27FC236}">
              <a16:creationId xmlns:a16="http://schemas.microsoft.com/office/drawing/2014/main" id="{00000000-0008-0000-0A00-000093030000}"/>
            </a:ext>
          </a:extLst>
        </xdr:cNvPr>
        <xdr:cNvSpPr/>
      </xdr:nvSpPr>
      <xdr:spPr>
        <a:xfrm>
          <a:off x="12289496" y="16096034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122</xdr:row>
      <xdr:rowOff>141539</xdr:rowOff>
    </xdr:from>
    <xdr:to>
      <xdr:col>5</xdr:col>
      <xdr:colOff>506710</xdr:colOff>
      <xdr:row>122</xdr:row>
      <xdr:rowOff>293939</xdr:rowOff>
    </xdr:to>
    <xdr:sp macro="" textlink="">
      <xdr:nvSpPr>
        <xdr:cNvPr id="935" name="Rectangle 934">
          <a:extLst>
            <a:ext uri="{FF2B5EF4-FFF2-40B4-BE49-F238E27FC236}">
              <a16:creationId xmlns:a16="http://schemas.microsoft.com/office/drawing/2014/main" id="{00000000-0008-0000-0A00-0000A703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122</xdr:row>
      <xdr:rowOff>1761585</xdr:rowOff>
    </xdr:from>
    <xdr:to>
      <xdr:col>5</xdr:col>
      <xdr:colOff>516724</xdr:colOff>
      <xdr:row>122</xdr:row>
      <xdr:rowOff>1913985</xdr:rowOff>
    </xdr:to>
    <xdr:sp macro="" textlink="">
      <xdr:nvSpPr>
        <xdr:cNvPr id="936" name="Rectangle 935">
          <a:extLst>
            <a:ext uri="{FF2B5EF4-FFF2-40B4-BE49-F238E27FC236}">
              <a16:creationId xmlns:a16="http://schemas.microsoft.com/office/drawing/2014/main" id="{00000000-0008-0000-0A00-0000A803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122</xdr:row>
      <xdr:rowOff>123955</xdr:rowOff>
    </xdr:from>
    <xdr:to>
      <xdr:col>5</xdr:col>
      <xdr:colOff>2394126</xdr:colOff>
      <xdr:row>122</xdr:row>
      <xdr:rowOff>276355</xdr:rowOff>
    </xdr:to>
    <xdr:sp macro="" textlink="">
      <xdr:nvSpPr>
        <xdr:cNvPr id="937" name="Rectangle 936">
          <a:extLst>
            <a:ext uri="{FF2B5EF4-FFF2-40B4-BE49-F238E27FC236}">
              <a16:creationId xmlns:a16="http://schemas.microsoft.com/office/drawing/2014/main" id="{00000000-0008-0000-0A00-0000A903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122</xdr:row>
      <xdr:rowOff>1790892</xdr:rowOff>
    </xdr:from>
    <xdr:to>
      <xdr:col>5</xdr:col>
      <xdr:colOff>2401941</xdr:colOff>
      <xdr:row>122</xdr:row>
      <xdr:rowOff>1943292</xdr:rowOff>
    </xdr:to>
    <xdr:sp macro="" textlink="">
      <xdr:nvSpPr>
        <xdr:cNvPr id="938" name="Rectangle 937">
          <a:extLst>
            <a:ext uri="{FF2B5EF4-FFF2-40B4-BE49-F238E27FC236}">
              <a16:creationId xmlns:a16="http://schemas.microsoft.com/office/drawing/2014/main" id="{00000000-0008-0000-0A00-0000AA03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122</xdr:row>
      <xdr:rowOff>630430</xdr:rowOff>
    </xdr:from>
    <xdr:to>
      <xdr:col>5</xdr:col>
      <xdr:colOff>2327329</xdr:colOff>
      <xdr:row>122</xdr:row>
      <xdr:rowOff>689045</xdr:rowOff>
    </xdr:to>
    <xdr:sp macro="" textlink="">
      <xdr:nvSpPr>
        <xdr:cNvPr id="939" name="Rectangle 938">
          <a:extLst>
            <a:ext uri="{FF2B5EF4-FFF2-40B4-BE49-F238E27FC236}">
              <a16:creationId xmlns:a16="http://schemas.microsoft.com/office/drawing/2014/main" id="{00000000-0008-0000-0A00-0000AB030000}"/>
            </a:ext>
          </a:extLst>
        </xdr:cNvPr>
        <xdr:cNvSpPr/>
      </xdr:nvSpPr>
      <xdr:spPr>
        <a:xfrm>
          <a:off x="11117543" y="16017418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122</xdr:row>
      <xdr:rowOff>141539</xdr:rowOff>
    </xdr:from>
    <xdr:to>
      <xdr:col>5</xdr:col>
      <xdr:colOff>506710</xdr:colOff>
      <xdr:row>122</xdr:row>
      <xdr:rowOff>293939</xdr:rowOff>
    </xdr:to>
    <xdr:sp macro="" textlink="">
      <xdr:nvSpPr>
        <xdr:cNvPr id="943" name="Rectangle 942">
          <a:extLst>
            <a:ext uri="{FF2B5EF4-FFF2-40B4-BE49-F238E27FC236}">
              <a16:creationId xmlns:a16="http://schemas.microsoft.com/office/drawing/2014/main" id="{00000000-0008-0000-0A00-0000AF03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122</xdr:row>
      <xdr:rowOff>1761585</xdr:rowOff>
    </xdr:from>
    <xdr:to>
      <xdr:col>5</xdr:col>
      <xdr:colOff>516724</xdr:colOff>
      <xdr:row>122</xdr:row>
      <xdr:rowOff>1913985</xdr:rowOff>
    </xdr:to>
    <xdr:sp macro="" textlink="">
      <xdr:nvSpPr>
        <xdr:cNvPr id="944" name="Rectangle 943">
          <a:extLst>
            <a:ext uri="{FF2B5EF4-FFF2-40B4-BE49-F238E27FC236}">
              <a16:creationId xmlns:a16="http://schemas.microsoft.com/office/drawing/2014/main" id="{00000000-0008-0000-0A00-0000B003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122</xdr:row>
      <xdr:rowOff>123955</xdr:rowOff>
    </xdr:from>
    <xdr:to>
      <xdr:col>5</xdr:col>
      <xdr:colOff>2394126</xdr:colOff>
      <xdr:row>122</xdr:row>
      <xdr:rowOff>276355</xdr:rowOff>
    </xdr:to>
    <xdr:sp macro="" textlink="">
      <xdr:nvSpPr>
        <xdr:cNvPr id="945" name="Rectangle 944">
          <a:extLst>
            <a:ext uri="{FF2B5EF4-FFF2-40B4-BE49-F238E27FC236}">
              <a16:creationId xmlns:a16="http://schemas.microsoft.com/office/drawing/2014/main" id="{00000000-0008-0000-0A00-0000B103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122</xdr:row>
      <xdr:rowOff>1790892</xdr:rowOff>
    </xdr:from>
    <xdr:to>
      <xdr:col>5</xdr:col>
      <xdr:colOff>2401941</xdr:colOff>
      <xdr:row>122</xdr:row>
      <xdr:rowOff>1943292</xdr:rowOff>
    </xdr:to>
    <xdr:sp macro="" textlink="">
      <xdr:nvSpPr>
        <xdr:cNvPr id="946" name="Rectangle 945">
          <a:extLst>
            <a:ext uri="{FF2B5EF4-FFF2-40B4-BE49-F238E27FC236}">
              <a16:creationId xmlns:a16="http://schemas.microsoft.com/office/drawing/2014/main" id="{00000000-0008-0000-0A00-0000B203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122</xdr:row>
      <xdr:rowOff>1455929</xdr:rowOff>
    </xdr:from>
    <xdr:to>
      <xdr:col>5</xdr:col>
      <xdr:colOff>2315483</xdr:colOff>
      <xdr:row>122</xdr:row>
      <xdr:rowOff>1514544</xdr:rowOff>
    </xdr:to>
    <xdr:sp macro="" textlink="">
      <xdr:nvSpPr>
        <xdr:cNvPr id="952" name="Rectangle 951">
          <a:extLst>
            <a:ext uri="{FF2B5EF4-FFF2-40B4-BE49-F238E27FC236}">
              <a16:creationId xmlns:a16="http://schemas.microsoft.com/office/drawing/2014/main" id="{00000000-0008-0000-0A00-0000B8030000}"/>
            </a:ext>
          </a:extLst>
        </xdr:cNvPr>
        <xdr:cNvSpPr/>
      </xdr:nvSpPr>
      <xdr:spPr>
        <a:xfrm>
          <a:off x="11105697" y="16099967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122</xdr:row>
      <xdr:rowOff>1057467</xdr:rowOff>
    </xdr:from>
    <xdr:to>
      <xdr:col>5</xdr:col>
      <xdr:colOff>2307546</xdr:colOff>
      <xdr:row>122</xdr:row>
      <xdr:rowOff>1116082</xdr:rowOff>
    </xdr:to>
    <xdr:sp macro="" textlink="">
      <xdr:nvSpPr>
        <xdr:cNvPr id="957" name="Rectangle 956">
          <a:extLst>
            <a:ext uri="{FF2B5EF4-FFF2-40B4-BE49-F238E27FC236}">
              <a16:creationId xmlns:a16="http://schemas.microsoft.com/office/drawing/2014/main" id="{00000000-0008-0000-0A00-0000BD030000}"/>
            </a:ext>
          </a:extLst>
        </xdr:cNvPr>
        <xdr:cNvSpPr/>
      </xdr:nvSpPr>
      <xdr:spPr>
        <a:xfrm>
          <a:off x="11097760" y="16060121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123</xdr:row>
      <xdr:rowOff>141539</xdr:rowOff>
    </xdr:from>
    <xdr:to>
      <xdr:col>5</xdr:col>
      <xdr:colOff>506710</xdr:colOff>
      <xdr:row>123</xdr:row>
      <xdr:rowOff>293939</xdr:rowOff>
    </xdr:to>
    <xdr:sp macro="" textlink="">
      <xdr:nvSpPr>
        <xdr:cNvPr id="1515" name="Rectangle 1514">
          <a:extLst>
            <a:ext uri="{FF2B5EF4-FFF2-40B4-BE49-F238E27FC236}">
              <a16:creationId xmlns:a16="http://schemas.microsoft.com/office/drawing/2014/main" id="{00000000-0008-0000-0A00-0000EB05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123</xdr:row>
      <xdr:rowOff>1761585</xdr:rowOff>
    </xdr:from>
    <xdr:to>
      <xdr:col>5</xdr:col>
      <xdr:colOff>516724</xdr:colOff>
      <xdr:row>123</xdr:row>
      <xdr:rowOff>1913985</xdr:rowOff>
    </xdr:to>
    <xdr:sp macro="" textlink="">
      <xdr:nvSpPr>
        <xdr:cNvPr id="1516" name="Rectangle 1515">
          <a:extLst>
            <a:ext uri="{FF2B5EF4-FFF2-40B4-BE49-F238E27FC236}">
              <a16:creationId xmlns:a16="http://schemas.microsoft.com/office/drawing/2014/main" id="{00000000-0008-0000-0A00-0000EC05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123</xdr:row>
      <xdr:rowOff>123955</xdr:rowOff>
    </xdr:from>
    <xdr:to>
      <xdr:col>5</xdr:col>
      <xdr:colOff>2394126</xdr:colOff>
      <xdr:row>123</xdr:row>
      <xdr:rowOff>276355</xdr:rowOff>
    </xdr:to>
    <xdr:sp macro="" textlink="">
      <xdr:nvSpPr>
        <xdr:cNvPr id="1517" name="Rectangle 1516">
          <a:extLst>
            <a:ext uri="{FF2B5EF4-FFF2-40B4-BE49-F238E27FC236}">
              <a16:creationId xmlns:a16="http://schemas.microsoft.com/office/drawing/2014/main" id="{00000000-0008-0000-0A00-0000ED05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123</xdr:row>
      <xdr:rowOff>1790892</xdr:rowOff>
    </xdr:from>
    <xdr:to>
      <xdr:col>5</xdr:col>
      <xdr:colOff>2401941</xdr:colOff>
      <xdr:row>123</xdr:row>
      <xdr:rowOff>1943292</xdr:rowOff>
    </xdr:to>
    <xdr:sp macro="" textlink="">
      <xdr:nvSpPr>
        <xdr:cNvPr id="1518" name="Rectangle 1517">
          <a:extLst>
            <a:ext uri="{FF2B5EF4-FFF2-40B4-BE49-F238E27FC236}">
              <a16:creationId xmlns:a16="http://schemas.microsoft.com/office/drawing/2014/main" id="{00000000-0008-0000-0A00-0000EE05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123</xdr:row>
      <xdr:rowOff>630430</xdr:rowOff>
    </xdr:from>
    <xdr:to>
      <xdr:col>5</xdr:col>
      <xdr:colOff>2327329</xdr:colOff>
      <xdr:row>123</xdr:row>
      <xdr:rowOff>689045</xdr:rowOff>
    </xdr:to>
    <xdr:sp macro="" textlink="">
      <xdr:nvSpPr>
        <xdr:cNvPr id="1519" name="Rectangle 1518">
          <a:extLst>
            <a:ext uri="{FF2B5EF4-FFF2-40B4-BE49-F238E27FC236}">
              <a16:creationId xmlns:a16="http://schemas.microsoft.com/office/drawing/2014/main" id="{00000000-0008-0000-0A00-0000EF050000}"/>
            </a:ext>
          </a:extLst>
        </xdr:cNvPr>
        <xdr:cNvSpPr/>
      </xdr:nvSpPr>
      <xdr:spPr>
        <a:xfrm>
          <a:off x="11117543" y="16017418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123</xdr:row>
      <xdr:rowOff>141539</xdr:rowOff>
    </xdr:from>
    <xdr:to>
      <xdr:col>5</xdr:col>
      <xdr:colOff>506710</xdr:colOff>
      <xdr:row>123</xdr:row>
      <xdr:rowOff>293939</xdr:rowOff>
    </xdr:to>
    <xdr:sp macro="" textlink="">
      <xdr:nvSpPr>
        <xdr:cNvPr id="1523" name="Rectangle 1522">
          <a:extLst>
            <a:ext uri="{FF2B5EF4-FFF2-40B4-BE49-F238E27FC236}">
              <a16:creationId xmlns:a16="http://schemas.microsoft.com/office/drawing/2014/main" id="{00000000-0008-0000-0A00-0000F305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123</xdr:row>
      <xdr:rowOff>1761585</xdr:rowOff>
    </xdr:from>
    <xdr:to>
      <xdr:col>5</xdr:col>
      <xdr:colOff>516724</xdr:colOff>
      <xdr:row>123</xdr:row>
      <xdr:rowOff>1913985</xdr:rowOff>
    </xdr:to>
    <xdr:sp macro="" textlink="">
      <xdr:nvSpPr>
        <xdr:cNvPr id="1524" name="Rectangle 1523">
          <a:extLst>
            <a:ext uri="{FF2B5EF4-FFF2-40B4-BE49-F238E27FC236}">
              <a16:creationId xmlns:a16="http://schemas.microsoft.com/office/drawing/2014/main" id="{00000000-0008-0000-0A00-0000F405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123</xdr:row>
      <xdr:rowOff>123955</xdr:rowOff>
    </xdr:from>
    <xdr:to>
      <xdr:col>5</xdr:col>
      <xdr:colOff>2394126</xdr:colOff>
      <xdr:row>123</xdr:row>
      <xdr:rowOff>276355</xdr:rowOff>
    </xdr:to>
    <xdr:sp macro="" textlink="">
      <xdr:nvSpPr>
        <xdr:cNvPr id="1525" name="Rectangle 1524">
          <a:extLst>
            <a:ext uri="{FF2B5EF4-FFF2-40B4-BE49-F238E27FC236}">
              <a16:creationId xmlns:a16="http://schemas.microsoft.com/office/drawing/2014/main" id="{00000000-0008-0000-0A00-0000F505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123</xdr:row>
      <xdr:rowOff>1790892</xdr:rowOff>
    </xdr:from>
    <xdr:to>
      <xdr:col>5</xdr:col>
      <xdr:colOff>2401941</xdr:colOff>
      <xdr:row>123</xdr:row>
      <xdr:rowOff>1943292</xdr:rowOff>
    </xdr:to>
    <xdr:sp macro="" textlink="">
      <xdr:nvSpPr>
        <xdr:cNvPr id="1526" name="Rectangle 1525">
          <a:extLst>
            <a:ext uri="{FF2B5EF4-FFF2-40B4-BE49-F238E27FC236}">
              <a16:creationId xmlns:a16="http://schemas.microsoft.com/office/drawing/2014/main" id="{00000000-0008-0000-0A00-0000F605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123</xdr:row>
      <xdr:rowOff>1455929</xdr:rowOff>
    </xdr:from>
    <xdr:to>
      <xdr:col>5</xdr:col>
      <xdr:colOff>2315483</xdr:colOff>
      <xdr:row>123</xdr:row>
      <xdr:rowOff>1514544</xdr:rowOff>
    </xdr:to>
    <xdr:sp macro="" textlink="">
      <xdr:nvSpPr>
        <xdr:cNvPr id="1532" name="Rectangle 1531">
          <a:extLst>
            <a:ext uri="{FF2B5EF4-FFF2-40B4-BE49-F238E27FC236}">
              <a16:creationId xmlns:a16="http://schemas.microsoft.com/office/drawing/2014/main" id="{00000000-0008-0000-0A00-0000FC050000}"/>
            </a:ext>
          </a:extLst>
        </xdr:cNvPr>
        <xdr:cNvSpPr/>
      </xdr:nvSpPr>
      <xdr:spPr>
        <a:xfrm>
          <a:off x="11105697" y="16099967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123</xdr:row>
      <xdr:rowOff>1057467</xdr:rowOff>
    </xdr:from>
    <xdr:to>
      <xdr:col>5</xdr:col>
      <xdr:colOff>2307546</xdr:colOff>
      <xdr:row>123</xdr:row>
      <xdr:rowOff>1116082</xdr:rowOff>
    </xdr:to>
    <xdr:sp macro="" textlink="">
      <xdr:nvSpPr>
        <xdr:cNvPr id="1537" name="Rectangle 1536">
          <a:extLst>
            <a:ext uri="{FF2B5EF4-FFF2-40B4-BE49-F238E27FC236}">
              <a16:creationId xmlns:a16="http://schemas.microsoft.com/office/drawing/2014/main" id="{00000000-0008-0000-0A00-000001060000}"/>
            </a:ext>
          </a:extLst>
        </xdr:cNvPr>
        <xdr:cNvSpPr/>
      </xdr:nvSpPr>
      <xdr:spPr>
        <a:xfrm>
          <a:off x="11097760" y="16060121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792075</xdr:colOff>
      <xdr:row>123</xdr:row>
      <xdr:rowOff>1383515</xdr:rowOff>
    </xdr:from>
    <xdr:to>
      <xdr:col>5</xdr:col>
      <xdr:colOff>1026537</xdr:colOff>
      <xdr:row>123</xdr:row>
      <xdr:rowOff>1610649</xdr:rowOff>
    </xdr:to>
    <xdr:sp macro="" textlink="">
      <xdr:nvSpPr>
        <xdr:cNvPr id="1538" name="Organigramme : Jonction de sommaire 1537">
          <a:extLst>
            <a:ext uri="{FF2B5EF4-FFF2-40B4-BE49-F238E27FC236}">
              <a16:creationId xmlns:a16="http://schemas.microsoft.com/office/drawing/2014/main" id="{00000000-0008-0000-0A00-000002060000}"/>
            </a:ext>
          </a:extLst>
        </xdr:cNvPr>
        <xdr:cNvSpPr/>
      </xdr:nvSpPr>
      <xdr:spPr>
        <a:xfrm>
          <a:off x="11469600" y="16312754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1643935</xdr:colOff>
      <xdr:row>123</xdr:row>
      <xdr:rowOff>1381316</xdr:rowOff>
    </xdr:from>
    <xdr:to>
      <xdr:col>5</xdr:col>
      <xdr:colOff>1878397</xdr:colOff>
      <xdr:row>123</xdr:row>
      <xdr:rowOff>1608450</xdr:rowOff>
    </xdr:to>
    <xdr:sp macro="" textlink="">
      <xdr:nvSpPr>
        <xdr:cNvPr id="1539" name="Organigramme : Jonction de sommaire 1538">
          <a:extLst>
            <a:ext uri="{FF2B5EF4-FFF2-40B4-BE49-F238E27FC236}">
              <a16:creationId xmlns:a16="http://schemas.microsoft.com/office/drawing/2014/main" id="{00000000-0008-0000-0A00-000003060000}"/>
            </a:ext>
          </a:extLst>
        </xdr:cNvPr>
        <xdr:cNvSpPr/>
      </xdr:nvSpPr>
      <xdr:spPr>
        <a:xfrm>
          <a:off x="12321460" y="16312534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518433</xdr:colOff>
      <xdr:row>125</xdr:row>
      <xdr:rowOff>155461</xdr:rowOff>
    </xdr:from>
    <xdr:to>
      <xdr:col>5</xdr:col>
      <xdr:colOff>2232933</xdr:colOff>
      <xdr:row>125</xdr:row>
      <xdr:rowOff>164986</xdr:rowOff>
    </xdr:to>
    <xdr:cxnSp macro="">
      <xdr:nvCxnSpPr>
        <xdr:cNvPr id="1542" name="Connecteur droit 1541">
          <a:extLst>
            <a:ext uri="{FF2B5EF4-FFF2-40B4-BE49-F238E27FC236}">
              <a16:creationId xmlns:a16="http://schemas.microsoft.com/office/drawing/2014/main" id="{00000000-0008-0000-0A00-000006060000}"/>
            </a:ext>
          </a:extLst>
        </xdr:cNvPr>
        <xdr:cNvCxnSpPr/>
      </xdr:nvCxnSpPr>
      <xdr:spPr>
        <a:xfrm flipV="1">
          <a:off x="11213647" y="159699211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125</xdr:row>
      <xdr:rowOff>1903726</xdr:rowOff>
    </xdr:from>
    <xdr:to>
      <xdr:col>5</xdr:col>
      <xdr:colOff>2232688</xdr:colOff>
      <xdr:row>125</xdr:row>
      <xdr:rowOff>1916914</xdr:rowOff>
    </xdr:to>
    <xdr:cxnSp macro="">
      <xdr:nvCxnSpPr>
        <xdr:cNvPr id="1543" name="Connecteur droit 1542">
          <a:extLst>
            <a:ext uri="{FF2B5EF4-FFF2-40B4-BE49-F238E27FC236}">
              <a16:creationId xmlns:a16="http://schemas.microsoft.com/office/drawing/2014/main" id="{00000000-0008-0000-0A00-000007060000}"/>
            </a:ext>
          </a:extLst>
        </xdr:cNvPr>
        <xdr:cNvCxnSpPr/>
      </xdr:nvCxnSpPr>
      <xdr:spPr>
        <a:xfrm>
          <a:off x="11189957" y="161447476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125</xdr:row>
      <xdr:rowOff>141539</xdr:rowOff>
    </xdr:from>
    <xdr:to>
      <xdr:col>5</xdr:col>
      <xdr:colOff>506710</xdr:colOff>
      <xdr:row>125</xdr:row>
      <xdr:rowOff>293939</xdr:rowOff>
    </xdr:to>
    <xdr:sp macro="" textlink="">
      <xdr:nvSpPr>
        <xdr:cNvPr id="1544" name="Rectangle 1543">
          <a:extLst>
            <a:ext uri="{FF2B5EF4-FFF2-40B4-BE49-F238E27FC236}">
              <a16:creationId xmlns:a16="http://schemas.microsoft.com/office/drawing/2014/main" id="{00000000-0008-0000-0A00-00000806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125</xdr:row>
      <xdr:rowOff>1761585</xdr:rowOff>
    </xdr:from>
    <xdr:to>
      <xdr:col>5</xdr:col>
      <xdr:colOff>516724</xdr:colOff>
      <xdr:row>125</xdr:row>
      <xdr:rowOff>1913985</xdr:rowOff>
    </xdr:to>
    <xdr:sp macro="" textlink="">
      <xdr:nvSpPr>
        <xdr:cNvPr id="1545" name="Rectangle 1544">
          <a:extLst>
            <a:ext uri="{FF2B5EF4-FFF2-40B4-BE49-F238E27FC236}">
              <a16:creationId xmlns:a16="http://schemas.microsoft.com/office/drawing/2014/main" id="{00000000-0008-0000-0A00-00000906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125</xdr:row>
      <xdr:rowOff>123955</xdr:rowOff>
    </xdr:from>
    <xdr:to>
      <xdr:col>5</xdr:col>
      <xdr:colOff>2394126</xdr:colOff>
      <xdr:row>125</xdr:row>
      <xdr:rowOff>276355</xdr:rowOff>
    </xdr:to>
    <xdr:sp macro="" textlink="">
      <xdr:nvSpPr>
        <xdr:cNvPr id="1546" name="Rectangle 1545">
          <a:extLst>
            <a:ext uri="{FF2B5EF4-FFF2-40B4-BE49-F238E27FC236}">
              <a16:creationId xmlns:a16="http://schemas.microsoft.com/office/drawing/2014/main" id="{00000000-0008-0000-0A00-00000A06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125</xdr:row>
      <xdr:rowOff>1790892</xdr:rowOff>
    </xdr:from>
    <xdr:to>
      <xdr:col>5</xdr:col>
      <xdr:colOff>2401941</xdr:colOff>
      <xdr:row>125</xdr:row>
      <xdr:rowOff>1943292</xdr:rowOff>
    </xdr:to>
    <xdr:sp macro="" textlink="">
      <xdr:nvSpPr>
        <xdr:cNvPr id="1547" name="Rectangle 1546">
          <a:extLst>
            <a:ext uri="{FF2B5EF4-FFF2-40B4-BE49-F238E27FC236}">
              <a16:creationId xmlns:a16="http://schemas.microsoft.com/office/drawing/2014/main" id="{00000000-0008-0000-0A00-00000B06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125</xdr:row>
      <xdr:rowOff>630430</xdr:rowOff>
    </xdr:from>
    <xdr:to>
      <xdr:col>5</xdr:col>
      <xdr:colOff>2327329</xdr:colOff>
      <xdr:row>125</xdr:row>
      <xdr:rowOff>689045</xdr:rowOff>
    </xdr:to>
    <xdr:sp macro="" textlink="">
      <xdr:nvSpPr>
        <xdr:cNvPr id="1548" name="Rectangle 1547">
          <a:extLst>
            <a:ext uri="{FF2B5EF4-FFF2-40B4-BE49-F238E27FC236}">
              <a16:creationId xmlns:a16="http://schemas.microsoft.com/office/drawing/2014/main" id="{00000000-0008-0000-0A00-00000C060000}"/>
            </a:ext>
          </a:extLst>
        </xdr:cNvPr>
        <xdr:cNvSpPr/>
      </xdr:nvSpPr>
      <xdr:spPr>
        <a:xfrm>
          <a:off x="11117543" y="16017418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2374345</xdr:colOff>
      <xdr:row>125</xdr:row>
      <xdr:rowOff>272875</xdr:rowOff>
    </xdr:from>
    <xdr:to>
      <xdr:col>5</xdr:col>
      <xdr:colOff>2375808</xdr:colOff>
      <xdr:row>125</xdr:row>
      <xdr:rowOff>1758043</xdr:rowOff>
    </xdr:to>
    <xdr:cxnSp macro="">
      <xdr:nvCxnSpPr>
        <xdr:cNvPr id="1549" name="Connecteur droit 1548">
          <a:extLst>
            <a:ext uri="{FF2B5EF4-FFF2-40B4-BE49-F238E27FC236}">
              <a16:creationId xmlns:a16="http://schemas.microsoft.com/office/drawing/2014/main" id="{00000000-0008-0000-0A00-00000D060000}"/>
            </a:ext>
          </a:extLst>
        </xdr:cNvPr>
        <xdr:cNvCxnSpPr/>
      </xdr:nvCxnSpPr>
      <xdr:spPr>
        <a:xfrm>
          <a:off x="13069559" y="159816625"/>
          <a:ext cx="1463" cy="148516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518433</xdr:colOff>
      <xdr:row>125</xdr:row>
      <xdr:rowOff>155461</xdr:rowOff>
    </xdr:from>
    <xdr:to>
      <xdr:col>5</xdr:col>
      <xdr:colOff>2232933</xdr:colOff>
      <xdr:row>125</xdr:row>
      <xdr:rowOff>164986</xdr:rowOff>
    </xdr:to>
    <xdr:cxnSp macro="">
      <xdr:nvCxnSpPr>
        <xdr:cNvPr id="1550" name="Connecteur droit 1549">
          <a:extLst>
            <a:ext uri="{FF2B5EF4-FFF2-40B4-BE49-F238E27FC236}">
              <a16:creationId xmlns:a16="http://schemas.microsoft.com/office/drawing/2014/main" id="{00000000-0008-0000-0A00-00000E060000}"/>
            </a:ext>
          </a:extLst>
        </xdr:cNvPr>
        <xdr:cNvCxnSpPr/>
      </xdr:nvCxnSpPr>
      <xdr:spPr>
        <a:xfrm flipV="1">
          <a:off x="11213647" y="159699211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125</xdr:row>
      <xdr:rowOff>1903726</xdr:rowOff>
    </xdr:from>
    <xdr:to>
      <xdr:col>5</xdr:col>
      <xdr:colOff>2232688</xdr:colOff>
      <xdr:row>125</xdr:row>
      <xdr:rowOff>1916914</xdr:rowOff>
    </xdr:to>
    <xdr:cxnSp macro="">
      <xdr:nvCxnSpPr>
        <xdr:cNvPr id="1551" name="Connecteur droit 1550">
          <a:extLst>
            <a:ext uri="{FF2B5EF4-FFF2-40B4-BE49-F238E27FC236}">
              <a16:creationId xmlns:a16="http://schemas.microsoft.com/office/drawing/2014/main" id="{00000000-0008-0000-0A00-00000F060000}"/>
            </a:ext>
          </a:extLst>
        </xdr:cNvPr>
        <xdr:cNvCxnSpPr/>
      </xdr:nvCxnSpPr>
      <xdr:spPr>
        <a:xfrm>
          <a:off x="11189957" y="161447476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125</xdr:row>
      <xdr:rowOff>141539</xdr:rowOff>
    </xdr:from>
    <xdr:to>
      <xdr:col>5</xdr:col>
      <xdr:colOff>506710</xdr:colOff>
      <xdr:row>125</xdr:row>
      <xdr:rowOff>293939</xdr:rowOff>
    </xdr:to>
    <xdr:sp macro="" textlink="">
      <xdr:nvSpPr>
        <xdr:cNvPr id="1552" name="Rectangle 1551">
          <a:extLst>
            <a:ext uri="{FF2B5EF4-FFF2-40B4-BE49-F238E27FC236}">
              <a16:creationId xmlns:a16="http://schemas.microsoft.com/office/drawing/2014/main" id="{00000000-0008-0000-0A00-00001006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125</xdr:row>
      <xdr:rowOff>1761585</xdr:rowOff>
    </xdr:from>
    <xdr:to>
      <xdr:col>5</xdr:col>
      <xdr:colOff>516724</xdr:colOff>
      <xdr:row>125</xdr:row>
      <xdr:rowOff>1913985</xdr:rowOff>
    </xdr:to>
    <xdr:sp macro="" textlink="">
      <xdr:nvSpPr>
        <xdr:cNvPr id="1553" name="Rectangle 1552">
          <a:extLst>
            <a:ext uri="{FF2B5EF4-FFF2-40B4-BE49-F238E27FC236}">
              <a16:creationId xmlns:a16="http://schemas.microsoft.com/office/drawing/2014/main" id="{00000000-0008-0000-0A00-00001106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125</xdr:row>
      <xdr:rowOff>123955</xdr:rowOff>
    </xdr:from>
    <xdr:to>
      <xdr:col>5</xdr:col>
      <xdr:colOff>2394126</xdr:colOff>
      <xdr:row>125</xdr:row>
      <xdr:rowOff>276355</xdr:rowOff>
    </xdr:to>
    <xdr:sp macro="" textlink="">
      <xdr:nvSpPr>
        <xdr:cNvPr id="1554" name="Rectangle 1553">
          <a:extLst>
            <a:ext uri="{FF2B5EF4-FFF2-40B4-BE49-F238E27FC236}">
              <a16:creationId xmlns:a16="http://schemas.microsoft.com/office/drawing/2014/main" id="{00000000-0008-0000-0A00-00001206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125</xdr:row>
      <xdr:rowOff>1790892</xdr:rowOff>
    </xdr:from>
    <xdr:to>
      <xdr:col>5</xdr:col>
      <xdr:colOff>2401941</xdr:colOff>
      <xdr:row>125</xdr:row>
      <xdr:rowOff>1943292</xdr:rowOff>
    </xdr:to>
    <xdr:sp macro="" textlink="">
      <xdr:nvSpPr>
        <xdr:cNvPr id="1555" name="Rectangle 1554">
          <a:extLst>
            <a:ext uri="{FF2B5EF4-FFF2-40B4-BE49-F238E27FC236}">
              <a16:creationId xmlns:a16="http://schemas.microsoft.com/office/drawing/2014/main" id="{00000000-0008-0000-0A00-00001306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370795</xdr:colOff>
      <xdr:row>125</xdr:row>
      <xdr:rowOff>327706</xdr:rowOff>
    </xdr:from>
    <xdr:to>
      <xdr:col>5</xdr:col>
      <xdr:colOff>370921</xdr:colOff>
      <xdr:row>125</xdr:row>
      <xdr:rowOff>1764394</xdr:rowOff>
    </xdr:to>
    <xdr:cxnSp macro="">
      <xdr:nvCxnSpPr>
        <xdr:cNvPr id="1560" name="Connecteur droit 1559">
          <a:extLst>
            <a:ext uri="{FF2B5EF4-FFF2-40B4-BE49-F238E27FC236}">
              <a16:creationId xmlns:a16="http://schemas.microsoft.com/office/drawing/2014/main" id="{00000000-0008-0000-0A00-000018060000}"/>
            </a:ext>
          </a:extLst>
        </xdr:cNvPr>
        <xdr:cNvCxnSpPr/>
      </xdr:nvCxnSpPr>
      <xdr:spPr>
        <a:xfrm flipH="1">
          <a:off x="11066009" y="167981313"/>
          <a:ext cx="126" cy="14366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410483</xdr:colOff>
      <xdr:row>125</xdr:row>
      <xdr:rowOff>1455929</xdr:rowOff>
    </xdr:from>
    <xdr:to>
      <xdr:col>5</xdr:col>
      <xdr:colOff>2315483</xdr:colOff>
      <xdr:row>125</xdr:row>
      <xdr:rowOff>1514544</xdr:rowOff>
    </xdr:to>
    <xdr:sp macro="" textlink="">
      <xdr:nvSpPr>
        <xdr:cNvPr id="1561" name="Rectangle 1560">
          <a:extLst>
            <a:ext uri="{FF2B5EF4-FFF2-40B4-BE49-F238E27FC236}">
              <a16:creationId xmlns:a16="http://schemas.microsoft.com/office/drawing/2014/main" id="{00000000-0008-0000-0A00-000019060000}"/>
            </a:ext>
          </a:extLst>
        </xdr:cNvPr>
        <xdr:cNvSpPr/>
      </xdr:nvSpPr>
      <xdr:spPr>
        <a:xfrm>
          <a:off x="11105697" y="16099967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125</xdr:row>
      <xdr:rowOff>1057467</xdr:rowOff>
    </xdr:from>
    <xdr:to>
      <xdr:col>5</xdr:col>
      <xdr:colOff>2307546</xdr:colOff>
      <xdr:row>125</xdr:row>
      <xdr:rowOff>1116082</xdr:rowOff>
    </xdr:to>
    <xdr:sp macro="" textlink="">
      <xdr:nvSpPr>
        <xdr:cNvPr id="1566" name="Rectangle 1565">
          <a:extLst>
            <a:ext uri="{FF2B5EF4-FFF2-40B4-BE49-F238E27FC236}">
              <a16:creationId xmlns:a16="http://schemas.microsoft.com/office/drawing/2014/main" id="{00000000-0008-0000-0A00-00001E060000}"/>
            </a:ext>
          </a:extLst>
        </xdr:cNvPr>
        <xdr:cNvSpPr/>
      </xdr:nvSpPr>
      <xdr:spPr>
        <a:xfrm>
          <a:off x="11097760" y="16060121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124</xdr:row>
      <xdr:rowOff>141539</xdr:rowOff>
    </xdr:from>
    <xdr:to>
      <xdr:col>5</xdr:col>
      <xdr:colOff>506710</xdr:colOff>
      <xdr:row>124</xdr:row>
      <xdr:rowOff>293939</xdr:rowOff>
    </xdr:to>
    <xdr:sp macro="" textlink="">
      <xdr:nvSpPr>
        <xdr:cNvPr id="2081" name="Rectangle 2080">
          <a:extLst>
            <a:ext uri="{FF2B5EF4-FFF2-40B4-BE49-F238E27FC236}">
              <a16:creationId xmlns:a16="http://schemas.microsoft.com/office/drawing/2014/main" id="{00000000-0008-0000-0A00-000021080000}"/>
            </a:ext>
          </a:extLst>
        </xdr:cNvPr>
        <xdr:cNvSpPr/>
      </xdr:nvSpPr>
      <xdr:spPr>
        <a:xfrm>
          <a:off x="11049524" y="16374021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124</xdr:row>
      <xdr:rowOff>1761585</xdr:rowOff>
    </xdr:from>
    <xdr:to>
      <xdr:col>5</xdr:col>
      <xdr:colOff>516724</xdr:colOff>
      <xdr:row>124</xdr:row>
      <xdr:rowOff>1913985</xdr:rowOff>
    </xdr:to>
    <xdr:sp macro="" textlink="">
      <xdr:nvSpPr>
        <xdr:cNvPr id="2082" name="Rectangle 2081">
          <a:extLst>
            <a:ext uri="{FF2B5EF4-FFF2-40B4-BE49-F238E27FC236}">
              <a16:creationId xmlns:a16="http://schemas.microsoft.com/office/drawing/2014/main" id="{00000000-0008-0000-0A00-000022080000}"/>
            </a:ext>
          </a:extLst>
        </xdr:cNvPr>
        <xdr:cNvSpPr/>
      </xdr:nvSpPr>
      <xdr:spPr>
        <a:xfrm>
          <a:off x="11059538" y="16536026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124</xdr:row>
      <xdr:rowOff>123955</xdr:rowOff>
    </xdr:from>
    <xdr:to>
      <xdr:col>5</xdr:col>
      <xdr:colOff>2394126</xdr:colOff>
      <xdr:row>124</xdr:row>
      <xdr:rowOff>276355</xdr:rowOff>
    </xdr:to>
    <xdr:sp macro="" textlink="">
      <xdr:nvSpPr>
        <xdr:cNvPr id="2083" name="Rectangle 2082">
          <a:extLst>
            <a:ext uri="{FF2B5EF4-FFF2-40B4-BE49-F238E27FC236}">
              <a16:creationId xmlns:a16="http://schemas.microsoft.com/office/drawing/2014/main" id="{00000000-0008-0000-0A00-000023080000}"/>
            </a:ext>
          </a:extLst>
        </xdr:cNvPr>
        <xdr:cNvSpPr/>
      </xdr:nvSpPr>
      <xdr:spPr>
        <a:xfrm>
          <a:off x="12936940" y="16372263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124</xdr:row>
      <xdr:rowOff>1790892</xdr:rowOff>
    </xdr:from>
    <xdr:to>
      <xdr:col>5</xdr:col>
      <xdr:colOff>2401941</xdr:colOff>
      <xdr:row>124</xdr:row>
      <xdr:rowOff>1943292</xdr:rowOff>
    </xdr:to>
    <xdr:sp macro="" textlink="">
      <xdr:nvSpPr>
        <xdr:cNvPr id="2084" name="Rectangle 2083">
          <a:extLst>
            <a:ext uri="{FF2B5EF4-FFF2-40B4-BE49-F238E27FC236}">
              <a16:creationId xmlns:a16="http://schemas.microsoft.com/office/drawing/2014/main" id="{00000000-0008-0000-0A00-000024080000}"/>
            </a:ext>
          </a:extLst>
        </xdr:cNvPr>
        <xdr:cNvSpPr/>
      </xdr:nvSpPr>
      <xdr:spPr>
        <a:xfrm>
          <a:off x="12944755" y="16538957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124</xdr:row>
      <xdr:rowOff>630430</xdr:rowOff>
    </xdr:from>
    <xdr:to>
      <xdr:col>5</xdr:col>
      <xdr:colOff>2327329</xdr:colOff>
      <xdr:row>124</xdr:row>
      <xdr:rowOff>689045</xdr:rowOff>
    </xdr:to>
    <xdr:sp macro="" textlink="">
      <xdr:nvSpPr>
        <xdr:cNvPr id="2085" name="Rectangle 2084">
          <a:extLst>
            <a:ext uri="{FF2B5EF4-FFF2-40B4-BE49-F238E27FC236}">
              <a16:creationId xmlns:a16="http://schemas.microsoft.com/office/drawing/2014/main" id="{00000000-0008-0000-0A00-000025080000}"/>
            </a:ext>
          </a:extLst>
        </xdr:cNvPr>
        <xdr:cNvSpPr/>
      </xdr:nvSpPr>
      <xdr:spPr>
        <a:xfrm>
          <a:off x="11117543" y="16422910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124</xdr:row>
      <xdr:rowOff>141539</xdr:rowOff>
    </xdr:from>
    <xdr:to>
      <xdr:col>5</xdr:col>
      <xdr:colOff>506710</xdr:colOff>
      <xdr:row>124</xdr:row>
      <xdr:rowOff>293939</xdr:rowOff>
    </xdr:to>
    <xdr:sp macro="" textlink="">
      <xdr:nvSpPr>
        <xdr:cNvPr id="2086" name="Rectangle 2085">
          <a:extLst>
            <a:ext uri="{FF2B5EF4-FFF2-40B4-BE49-F238E27FC236}">
              <a16:creationId xmlns:a16="http://schemas.microsoft.com/office/drawing/2014/main" id="{00000000-0008-0000-0A00-000026080000}"/>
            </a:ext>
          </a:extLst>
        </xdr:cNvPr>
        <xdr:cNvSpPr/>
      </xdr:nvSpPr>
      <xdr:spPr>
        <a:xfrm>
          <a:off x="11049524" y="16374021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124</xdr:row>
      <xdr:rowOff>1761585</xdr:rowOff>
    </xdr:from>
    <xdr:to>
      <xdr:col>5</xdr:col>
      <xdr:colOff>516724</xdr:colOff>
      <xdr:row>124</xdr:row>
      <xdr:rowOff>1913985</xdr:rowOff>
    </xdr:to>
    <xdr:sp macro="" textlink="">
      <xdr:nvSpPr>
        <xdr:cNvPr id="2087" name="Rectangle 2086">
          <a:extLst>
            <a:ext uri="{FF2B5EF4-FFF2-40B4-BE49-F238E27FC236}">
              <a16:creationId xmlns:a16="http://schemas.microsoft.com/office/drawing/2014/main" id="{00000000-0008-0000-0A00-000027080000}"/>
            </a:ext>
          </a:extLst>
        </xdr:cNvPr>
        <xdr:cNvSpPr/>
      </xdr:nvSpPr>
      <xdr:spPr>
        <a:xfrm>
          <a:off x="11059538" y="16536026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124</xdr:row>
      <xdr:rowOff>123955</xdr:rowOff>
    </xdr:from>
    <xdr:to>
      <xdr:col>5</xdr:col>
      <xdr:colOff>2394126</xdr:colOff>
      <xdr:row>124</xdr:row>
      <xdr:rowOff>276355</xdr:rowOff>
    </xdr:to>
    <xdr:sp macro="" textlink="">
      <xdr:nvSpPr>
        <xdr:cNvPr id="2088" name="Rectangle 2087">
          <a:extLst>
            <a:ext uri="{FF2B5EF4-FFF2-40B4-BE49-F238E27FC236}">
              <a16:creationId xmlns:a16="http://schemas.microsoft.com/office/drawing/2014/main" id="{00000000-0008-0000-0A00-000028080000}"/>
            </a:ext>
          </a:extLst>
        </xdr:cNvPr>
        <xdr:cNvSpPr/>
      </xdr:nvSpPr>
      <xdr:spPr>
        <a:xfrm>
          <a:off x="12936940" y="16372263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124</xdr:row>
      <xdr:rowOff>1790892</xdr:rowOff>
    </xdr:from>
    <xdr:to>
      <xdr:col>5</xdr:col>
      <xdr:colOff>2401941</xdr:colOff>
      <xdr:row>124</xdr:row>
      <xdr:rowOff>1943292</xdr:rowOff>
    </xdr:to>
    <xdr:sp macro="" textlink="">
      <xdr:nvSpPr>
        <xdr:cNvPr id="2089" name="Rectangle 2088">
          <a:extLst>
            <a:ext uri="{FF2B5EF4-FFF2-40B4-BE49-F238E27FC236}">
              <a16:creationId xmlns:a16="http://schemas.microsoft.com/office/drawing/2014/main" id="{00000000-0008-0000-0A00-000029080000}"/>
            </a:ext>
          </a:extLst>
        </xdr:cNvPr>
        <xdr:cNvSpPr/>
      </xdr:nvSpPr>
      <xdr:spPr>
        <a:xfrm>
          <a:off x="12944755" y="16538957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830908</xdr:colOff>
      <xdr:row>124</xdr:row>
      <xdr:rowOff>546903</xdr:rowOff>
    </xdr:from>
    <xdr:to>
      <xdr:col>5</xdr:col>
      <xdr:colOff>1065370</xdr:colOff>
      <xdr:row>124</xdr:row>
      <xdr:rowOff>774037</xdr:rowOff>
    </xdr:to>
    <xdr:sp macro="" textlink="">
      <xdr:nvSpPr>
        <xdr:cNvPr id="2090" name="Organigramme : Jonction de sommaire 2089">
          <a:extLst>
            <a:ext uri="{FF2B5EF4-FFF2-40B4-BE49-F238E27FC236}">
              <a16:creationId xmlns:a16="http://schemas.microsoft.com/office/drawing/2014/main" id="{00000000-0008-0000-0A00-00002A080000}"/>
            </a:ext>
          </a:extLst>
        </xdr:cNvPr>
        <xdr:cNvSpPr/>
      </xdr:nvSpPr>
      <xdr:spPr>
        <a:xfrm>
          <a:off x="11526122" y="16414558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1673243</xdr:colOff>
      <xdr:row>124</xdr:row>
      <xdr:rowOff>554229</xdr:rowOff>
    </xdr:from>
    <xdr:to>
      <xdr:col>5</xdr:col>
      <xdr:colOff>1907705</xdr:colOff>
      <xdr:row>124</xdr:row>
      <xdr:rowOff>781363</xdr:rowOff>
    </xdr:to>
    <xdr:sp macro="" textlink="">
      <xdr:nvSpPr>
        <xdr:cNvPr id="2091" name="Organigramme : Jonction de sommaire 2090">
          <a:extLst>
            <a:ext uri="{FF2B5EF4-FFF2-40B4-BE49-F238E27FC236}">
              <a16:creationId xmlns:a16="http://schemas.microsoft.com/office/drawing/2014/main" id="{00000000-0008-0000-0A00-00002B080000}"/>
            </a:ext>
          </a:extLst>
        </xdr:cNvPr>
        <xdr:cNvSpPr/>
      </xdr:nvSpPr>
      <xdr:spPr>
        <a:xfrm>
          <a:off x="12368457" y="16415290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124</xdr:row>
      <xdr:rowOff>1455929</xdr:rowOff>
    </xdr:from>
    <xdr:to>
      <xdr:col>5</xdr:col>
      <xdr:colOff>2315483</xdr:colOff>
      <xdr:row>124</xdr:row>
      <xdr:rowOff>1514544</xdr:rowOff>
    </xdr:to>
    <xdr:sp macro="" textlink="">
      <xdr:nvSpPr>
        <xdr:cNvPr id="2092" name="Rectangle 2091">
          <a:extLst>
            <a:ext uri="{FF2B5EF4-FFF2-40B4-BE49-F238E27FC236}">
              <a16:creationId xmlns:a16="http://schemas.microsoft.com/office/drawing/2014/main" id="{00000000-0008-0000-0A00-00002C080000}"/>
            </a:ext>
          </a:extLst>
        </xdr:cNvPr>
        <xdr:cNvSpPr/>
      </xdr:nvSpPr>
      <xdr:spPr>
        <a:xfrm>
          <a:off x="11105697" y="165054608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819062</xdr:colOff>
      <xdr:row>124</xdr:row>
      <xdr:rowOff>1372402</xdr:rowOff>
    </xdr:from>
    <xdr:to>
      <xdr:col>5</xdr:col>
      <xdr:colOff>1053524</xdr:colOff>
      <xdr:row>124</xdr:row>
      <xdr:rowOff>1599536</xdr:rowOff>
    </xdr:to>
    <xdr:sp macro="" textlink="">
      <xdr:nvSpPr>
        <xdr:cNvPr id="2093" name="Organigramme : Jonction de sommaire 2092">
          <a:extLst>
            <a:ext uri="{FF2B5EF4-FFF2-40B4-BE49-F238E27FC236}">
              <a16:creationId xmlns:a16="http://schemas.microsoft.com/office/drawing/2014/main" id="{00000000-0008-0000-0A00-00002D080000}"/>
            </a:ext>
          </a:extLst>
        </xdr:cNvPr>
        <xdr:cNvSpPr/>
      </xdr:nvSpPr>
      <xdr:spPr>
        <a:xfrm>
          <a:off x="11514276" y="16497108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1661397</xdr:colOff>
      <xdr:row>124</xdr:row>
      <xdr:rowOff>1379728</xdr:rowOff>
    </xdr:from>
    <xdr:to>
      <xdr:col>5</xdr:col>
      <xdr:colOff>1895859</xdr:colOff>
      <xdr:row>124</xdr:row>
      <xdr:rowOff>1606862</xdr:rowOff>
    </xdr:to>
    <xdr:sp macro="" textlink="">
      <xdr:nvSpPr>
        <xdr:cNvPr id="2094" name="Organigramme : Jonction de sommaire 2093">
          <a:extLst>
            <a:ext uri="{FF2B5EF4-FFF2-40B4-BE49-F238E27FC236}">
              <a16:creationId xmlns:a16="http://schemas.microsoft.com/office/drawing/2014/main" id="{00000000-0008-0000-0A00-00002E080000}"/>
            </a:ext>
          </a:extLst>
        </xdr:cNvPr>
        <xdr:cNvSpPr/>
      </xdr:nvSpPr>
      <xdr:spPr>
        <a:xfrm>
          <a:off x="12356611" y="16497840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124</xdr:row>
      <xdr:rowOff>1057467</xdr:rowOff>
    </xdr:from>
    <xdr:to>
      <xdr:col>5</xdr:col>
      <xdr:colOff>2307546</xdr:colOff>
      <xdr:row>124</xdr:row>
      <xdr:rowOff>1116082</xdr:rowOff>
    </xdr:to>
    <xdr:sp macro="" textlink="">
      <xdr:nvSpPr>
        <xdr:cNvPr id="2095" name="Rectangle 2094">
          <a:extLst>
            <a:ext uri="{FF2B5EF4-FFF2-40B4-BE49-F238E27FC236}">
              <a16:creationId xmlns:a16="http://schemas.microsoft.com/office/drawing/2014/main" id="{00000000-0008-0000-0A00-00002F080000}"/>
            </a:ext>
          </a:extLst>
        </xdr:cNvPr>
        <xdr:cNvSpPr/>
      </xdr:nvSpPr>
      <xdr:spPr>
        <a:xfrm>
          <a:off x="11097760" y="164656146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811125</xdr:colOff>
      <xdr:row>124</xdr:row>
      <xdr:rowOff>973940</xdr:rowOff>
    </xdr:from>
    <xdr:to>
      <xdr:col>5</xdr:col>
      <xdr:colOff>1045587</xdr:colOff>
      <xdr:row>124</xdr:row>
      <xdr:rowOff>1201074</xdr:rowOff>
    </xdr:to>
    <xdr:sp macro="" textlink="">
      <xdr:nvSpPr>
        <xdr:cNvPr id="2096" name="Organigramme : Jonction de sommaire 2095">
          <a:extLst>
            <a:ext uri="{FF2B5EF4-FFF2-40B4-BE49-F238E27FC236}">
              <a16:creationId xmlns:a16="http://schemas.microsoft.com/office/drawing/2014/main" id="{00000000-0008-0000-0A00-000030080000}"/>
            </a:ext>
          </a:extLst>
        </xdr:cNvPr>
        <xdr:cNvSpPr/>
      </xdr:nvSpPr>
      <xdr:spPr>
        <a:xfrm>
          <a:off x="11506339" y="16457261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1653460</xdr:colOff>
      <xdr:row>124</xdr:row>
      <xdr:rowOff>981266</xdr:rowOff>
    </xdr:from>
    <xdr:to>
      <xdr:col>5</xdr:col>
      <xdr:colOff>1887922</xdr:colOff>
      <xdr:row>124</xdr:row>
      <xdr:rowOff>1208400</xdr:rowOff>
    </xdr:to>
    <xdr:sp macro="" textlink="">
      <xdr:nvSpPr>
        <xdr:cNvPr id="2097" name="Organigramme : Jonction de sommaire 2096">
          <a:extLst>
            <a:ext uri="{FF2B5EF4-FFF2-40B4-BE49-F238E27FC236}">
              <a16:creationId xmlns:a16="http://schemas.microsoft.com/office/drawing/2014/main" id="{00000000-0008-0000-0A00-000031080000}"/>
            </a:ext>
          </a:extLst>
        </xdr:cNvPr>
        <xdr:cNvSpPr/>
      </xdr:nvSpPr>
      <xdr:spPr>
        <a:xfrm>
          <a:off x="12348674" y="16457994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518433</xdr:colOff>
      <xdr:row>126</xdr:row>
      <xdr:rowOff>155461</xdr:rowOff>
    </xdr:from>
    <xdr:to>
      <xdr:col>5</xdr:col>
      <xdr:colOff>2232933</xdr:colOff>
      <xdr:row>126</xdr:row>
      <xdr:rowOff>164986</xdr:rowOff>
    </xdr:to>
    <xdr:cxnSp macro="">
      <xdr:nvCxnSpPr>
        <xdr:cNvPr id="2098" name="Connecteur droit 2097">
          <a:extLst>
            <a:ext uri="{FF2B5EF4-FFF2-40B4-BE49-F238E27FC236}">
              <a16:creationId xmlns:a16="http://schemas.microsoft.com/office/drawing/2014/main" id="{00000000-0008-0000-0A00-000032080000}"/>
            </a:ext>
          </a:extLst>
        </xdr:cNvPr>
        <xdr:cNvCxnSpPr/>
      </xdr:nvCxnSpPr>
      <xdr:spPr>
        <a:xfrm flipV="1">
          <a:off x="11213647" y="167809068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126</xdr:row>
      <xdr:rowOff>1903726</xdr:rowOff>
    </xdr:from>
    <xdr:to>
      <xdr:col>5</xdr:col>
      <xdr:colOff>2232688</xdr:colOff>
      <xdr:row>126</xdr:row>
      <xdr:rowOff>1916914</xdr:rowOff>
    </xdr:to>
    <xdr:cxnSp macro="">
      <xdr:nvCxnSpPr>
        <xdr:cNvPr id="2099" name="Connecteur droit 2098">
          <a:extLst>
            <a:ext uri="{FF2B5EF4-FFF2-40B4-BE49-F238E27FC236}">
              <a16:creationId xmlns:a16="http://schemas.microsoft.com/office/drawing/2014/main" id="{00000000-0008-0000-0A00-000033080000}"/>
            </a:ext>
          </a:extLst>
        </xdr:cNvPr>
        <xdr:cNvCxnSpPr/>
      </xdr:nvCxnSpPr>
      <xdr:spPr>
        <a:xfrm>
          <a:off x="11189957" y="169557333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126</xdr:row>
      <xdr:rowOff>141539</xdr:rowOff>
    </xdr:from>
    <xdr:to>
      <xdr:col>5</xdr:col>
      <xdr:colOff>506710</xdr:colOff>
      <xdr:row>126</xdr:row>
      <xdr:rowOff>293939</xdr:rowOff>
    </xdr:to>
    <xdr:sp macro="" textlink="">
      <xdr:nvSpPr>
        <xdr:cNvPr id="2100" name="Rectangle 2099">
          <a:extLst>
            <a:ext uri="{FF2B5EF4-FFF2-40B4-BE49-F238E27FC236}">
              <a16:creationId xmlns:a16="http://schemas.microsoft.com/office/drawing/2014/main" id="{00000000-0008-0000-0A00-000034080000}"/>
            </a:ext>
          </a:extLst>
        </xdr:cNvPr>
        <xdr:cNvSpPr/>
      </xdr:nvSpPr>
      <xdr:spPr>
        <a:xfrm>
          <a:off x="11049524" y="16779514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126</xdr:row>
      <xdr:rowOff>1761585</xdr:rowOff>
    </xdr:from>
    <xdr:to>
      <xdr:col>5</xdr:col>
      <xdr:colOff>516724</xdr:colOff>
      <xdr:row>126</xdr:row>
      <xdr:rowOff>1913985</xdr:rowOff>
    </xdr:to>
    <xdr:sp macro="" textlink="">
      <xdr:nvSpPr>
        <xdr:cNvPr id="2101" name="Rectangle 2100">
          <a:extLst>
            <a:ext uri="{FF2B5EF4-FFF2-40B4-BE49-F238E27FC236}">
              <a16:creationId xmlns:a16="http://schemas.microsoft.com/office/drawing/2014/main" id="{00000000-0008-0000-0A00-000035080000}"/>
            </a:ext>
          </a:extLst>
        </xdr:cNvPr>
        <xdr:cNvSpPr/>
      </xdr:nvSpPr>
      <xdr:spPr>
        <a:xfrm>
          <a:off x="11059538" y="1694151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126</xdr:row>
      <xdr:rowOff>123955</xdr:rowOff>
    </xdr:from>
    <xdr:to>
      <xdr:col>5</xdr:col>
      <xdr:colOff>2394126</xdr:colOff>
      <xdr:row>126</xdr:row>
      <xdr:rowOff>276355</xdr:rowOff>
    </xdr:to>
    <xdr:sp macro="" textlink="">
      <xdr:nvSpPr>
        <xdr:cNvPr id="2102" name="Rectangle 2101">
          <a:extLst>
            <a:ext uri="{FF2B5EF4-FFF2-40B4-BE49-F238E27FC236}">
              <a16:creationId xmlns:a16="http://schemas.microsoft.com/office/drawing/2014/main" id="{00000000-0008-0000-0A00-000036080000}"/>
            </a:ext>
          </a:extLst>
        </xdr:cNvPr>
        <xdr:cNvSpPr/>
      </xdr:nvSpPr>
      <xdr:spPr>
        <a:xfrm>
          <a:off x="12936940" y="16777756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126</xdr:row>
      <xdr:rowOff>1790892</xdr:rowOff>
    </xdr:from>
    <xdr:to>
      <xdr:col>5</xdr:col>
      <xdr:colOff>2401941</xdr:colOff>
      <xdr:row>126</xdr:row>
      <xdr:rowOff>1943292</xdr:rowOff>
    </xdr:to>
    <xdr:sp macro="" textlink="">
      <xdr:nvSpPr>
        <xdr:cNvPr id="2103" name="Rectangle 2102">
          <a:extLst>
            <a:ext uri="{FF2B5EF4-FFF2-40B4-BE49-F238E27FC236}">
              <a16:creationId xmlns:a16="http://schemas.microsoft.com/office/drawing/2014/main" id="{00000000-0008-0000-0A00-000037080000}"/>
            </a:ext>
          </a:extLst>
        </xdr:cNvPr>
        <xdr:cNvSpPr/>
      </xdr:nvSpPr>
      <xdr:spPr>
        <a:xfrm>
          <a:off x="12944755" y="1694444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126</xdr:row>
      <xdr:rowOff>630430</xdr:rowOff>
    </xdr:from>
    <xdr:to>
      <xdr:col>5</xdr:col>
      <xdr:colOff>2327329</xdr:colOff>
      <xdr:row>126</xdr:row>
      <xdr:rowOff>689045</xdr:rowOff>
    </xdr:to>
    <xdr:sp macro="" textlink="">
      <xdr:nvSpPr>
        <xdr:cNvPr id="2104" name="Rectangle 2103">
          <a:extLst>
            <a:ext uri="{FF2B5EF4-FFF2-40B4-BE49-F238E27FC236}">
              <a16:creationId xmlns:a16="http://schemas.microsoft.com/office/drawing/2014/main" id="{00000000-0008-0000-0A00-000038080000}"/>
            </a:ext>
          </a:extLst>
        </xdr:cNvPr>
        <xdr:cNvSpPr/>
      </xdr:nvSpPr>
      <xdr:spPr>
        <a:xfrm>
          <a:off x="11117543" y="16828403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2374345</xdr:colOff>
      <xdr:row>126</xdr:row>
      <xdr:rowOff>272875</xdr:rowOff>
    </xdr:from>
    <xdr:to>
      <xdr:col>5</xdr:col>
      <xdr:colOff>2375808</xdr:colOff>
      <xdr:row>126</xdr:row>
      <xdr:rowOff>1758043</xdr:rowOff>
    </xdr:to>
    <xdr:cxnSp macro="">
      <xdr:nvCxnSpPr>
        <xdr:cNvPr id="2105" name="Connecteur droit 2104">
          <a:extLst>
            <a:ext uri="{FF2B5EF4-FFF2-40B4-BE49-F238E27FC236}">
              <a16:creationId xmlns:a16="http://schemas.microsoft.com/office/drawing/2014/main" id="{00000000-0008-0000-0A00-000039080000}"/>
            </a:ext>
          </a:extLst>
        </xdr:cNvPr>
        <xdr:cNvCxnSpPr/>
      </xdr:nvCxnSpPr>
      <xdr:spPr>
        <a:xfrm>
          <a:off x="13069559" y="167926482"/>
          <a:ext cx="1463" cy="148516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518433</xdr:colOff>
      <xdr:row>126</xdr:row>
      <xdr:rowOff>155461</xdr:rowOff>
    </xdr:from>
    <xdr:to>
      <xdr:col>5</xdr:col>
      <xdr:colOff>2232933</xdr:colOff>
      <xdr:row>126</xdr:row>
      <xdr:rowOff>164986</xdr:rowOff>
    </xdr:to>
    <xdr:cxnSp macro="">
      <xdr:nvCxnSpPr>
        <xdr:cNvPr id="2106" name="Connecteur droit 2105">
          <a:extLst>
            <a:ext uri="{FF2B5EF4-FFF2-40B4-BE49-F238E27FC236}">
              <a16:creationId xmlns:a16="http://schemas.microsoft.com/office/drawing/2014/main" id="{00000000-0008-0000-0A00-00003A080000}"/>
            </a:ext>
          </a:extLst>
        </xdr:cNvPr>
        <xdr:cNvCxnSpPr/>
      </xdr:nvCxnSpPr>
      <xdr:spPr>
        <a:xfrm flipV="1">
          <a:off x="11213647" y="167809068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126</xdr:row>
      <xdr:rowOff>1903726</xdr:rowOff>
    </xdr:from>
    <xdr:to>
      <xdr:col>5</xdr:col>
      <xdr:colOff>2232688</xdr:colOff>
      <xdr:row>126</xdr:row>
      <xdr:rowOff>1916914</xdr:rowOff>
    </xdr:to>
    <xdr:cxnSp macro="">
      <xdr:nvCxnSpPr>
        <xdr:cNvPr id="2107" name="Connecteur droit 2106">
          <a:extLst>
            <a:ext uri="{FF2B5EF4-FFF2-40B4-BE49-F238E27FC236}">
              <a16:creationId xmlns:a16="http://schemas.microsoft.com/office/drawing/2014/main" id="{00000000-0008-0000-0A00-00003B080000}"/>
            </a:ext>
          </a:extLst>
        </xdr:cNvPr>
        <xdr:cNvCxnSpPr/>
      </xdr:nvCxnSpPr>
      <xdr:spPr>
        <a:xfrm>
          <a:off x="11189957" y="169557333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126</xdr:row>
      <xdr:rowOff>141539</xdr:rowOff>
    </xdr:from>
    <xdr:to>
      <xdr:col>5</xdr:col>
      <xdr:colOff>506710</xdr:colOff>
      <xdr:row>126</xdr:row>
      <xdr:rowOff>293939</xdr:rowOff>
    </xdr:to>
    <xdr:sp macro="" textlink="">
      <xdr:nvSpPr>
        <xdr:cNvPr id="2108" name="Rectangle 2107">
          <a:extLst>
            <a:ext uri="{FF2B5EF4-FFF2-40B4-BE49-F238E27FC236}">
              <a16:creationId xmlns:a16="http://schemas.microsoft.com/office/drawing/2014/main" id="{00000000-0008-0000-0A00-00003C080000}"/>
            </a:ext>
          </a:extLst>
        </xdr:cNvPr>
        <xdr:cNvSpPr/>
      </xdr:nvSpPr>
      <xdr:spPr>
        <a:xfrm>
          <a:off x="11049524" y="16779514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126</xdr:row>
      <xdr:rowOff>1761585</xdr:rowOff>
    </xdr:from>
    <xdr:to>
      <xdr:col>5</xdr:col>
      <xdr:colOff>516724</xdr:colOff>
      <xdr:row>126</xdr:row>
      <xdr:rowOff>1913985</xdr:rowOff>
    </xdr:to>
    <xdr:sp macro="" textlink="">
      <xdr:nvSpPr>
        <xdr:cNvPr id="2109" name="Rectangle 2108">
          <a:extLst>
            <a:ext uri="{FF2B5EF4-FFF2-40B4-BE49-F238E27FC236}">
              <a16:creationId xmlns:a16="http://schemas.microsoft.com/office/drawing/2014/main" id="{00000000-0008-0000-0A00-00003D080000}"/>
            </a:ext>
          </a:extLst>
        </xdr:cNvPr>
        <xdr:cNvSpPr/>
      </xdr:nvSpPr>
      <xdr:spPr>
        <a:xfrm>
          <a:off x="11059538" y="1694151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126</xdr:row>
      <xdr:rowOff>123955</xdr:rowOff>
    </xdr:from>
    <xdr:to>
      <xdr:col>5</xdr:col>
      <xdr:colOff>2394126</xdr:colOff>
      <xdr:row>126</xdr:row>
      <xdr:rowOff>276355</xdr:rowOff>
    </xdr:to>
    <xdr:sp macro="" textlink="">
      <xdr:nvSpPr>
        <xdr:cNvPr id="2110" name="Rectangle 2109">
          <a:extLst>
            <a:ext uri="{FF2B5EF4-FFF2-40B4-BE49-F238E27FC236}">
              <a16:creationId xmlns:a16="http://schemas.microsoft.com/office/drawing/2014/main" id="{00000000-0008-0000-0A00-00003E080000}"/>
            </a:ext>
          </a:extLst>
        </xdr:cNvPr>
        <xdr:cNvSpPr/>
      </xdr:nvSpPr>
      <xdr:spPr>
        <a:xfrm>
          <a:off x="12936940" y="16777756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126</xdr:row>
      <xdr:rowOff>1790892</xdr:rowOff>
    </xdr:from>
    <xdr:to>
      <xdr:col>5</xdr:col>
      <xdr:colOff>2401941</xdr:colOff>
      <xdr:row>126</xdr:row>
      <xdr:rowOff>1943292</xdr:rowOff>
    </xdr:to>
    <xdr:sp macro="" textlink="">
      <xdr:nvSpPr>
        <xdr:cNvPr id="2111" name="Rectangle 2110">
          <a:extLst>
            <a:ext uri="{FF2B5EF4-FFF2-40B4-BE49-F238E27FC236}">
              <a16:creationId xmlns:a16="http://schemas.microsoft.com/office/drawing/2014/main" id="{00000000-0008-0000-0A00-00003F080000}"/>
            </a:ext>
          </a:extLst>
        </xdr:cNvPr>
        <xdr:cNvSpPr/>
      </xdr:nvSpPr>
      <xdr:spPr>
        <a:xfrm>
          <a:off x="12944755" y="1694444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370795</xdr:colOff>
      <xdr:row>126</xdr:row>
      <xdr:rowOff>327706</xdr:rowOff>
    </xdr:from>
    <xdr:to>
      <xdr:col>5</xdr:col>
      <xdr:colOff>370921</xdr:colOff>
      <xdr:row>126</xdr:row>
      <xdr:rowOff>1764394</xdr:rowOff>
    </xdr:to>
    <xdr:cxnSp macro="">
      <xdr:nvCxnSpPr>
        <xdr:cNvPr id="2114" name="Connecteur droit 2113">
          <a:extLst>
            <a:ext uri="{FF2B5EF4-FFF2-40B4-BE49-F238E27FC236}">
              <a16:creationId xmlns:a16="http://schemas.microsoft.com/office/drawing/2014/main" id="{00000000-0008-0000-0A00-000042080000}"/>
            </a:ext>
          </a:extLst>
        </xdr:cNvPr>
        <xdr:cNvCxnSpPr/>
      </xdr:nvCxnSpPr>
      <xdr:spPr>
        <a:xfrm flipH="1">
          <a:off x="11066009" y="167981313"/>
          <a:ext cx="126" cy="14366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410483</xdr:colOff>
      <xdr:row>126</xdr:row>
      <xdr:rowOff>1455929</xdr:rowOff>
    </xdr:from>
    <xdr:to>
      <xdr:col>5</xdr:col>
      <xdr:colOff>2315483</xdr:colOff>
      <xdr:row>126</xdr:row>
      <xdr:rowOff>1514544</xdr:rowOff>
    </xdr:to>
    <xdr:sp macro="" textlink="">
      <xdr:nvSpPr>
        <xdr:cNvPr id="2115" name="Rectangle 2114">
          <a:extLst>
            <a:ext uri="{FF2B5EF4-FFF2-40B4-BE49-F238E27FC236}">
              <a16:creationId xmlns:a16="http://schemas.microsoft.com/office/drawing/2014/main" id="{00000000-0008-0000-0A00-000043080000}"/>
            </a:ext>
          </a:extLst>
        </xdr:cNvPr>
        <xdr:cNvSpPr/>
      </xdr:nvSpPr>
      <xdr:spPr>
        <a:xfrm>
          <a:off x="11105697" y="169109536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126</xdr:row>
      <xdr:rowOff>1057467</xdr:rowOff>
    </xdr:from>
    <xdr:to>
      <xdr:col>5</xdr:col>
      <xdr:colOff>2307546</xdr:colOff>
      <xdr:row>126</xdr:row>
      <xdr:rowOff>1116082</xdr:rowOff>
    </xdr:to>
    <xdr:sp macro="" textlink="">
      <xdr:nvSpPr>
        <xdr:cNvPr id="2118" name="Rectangle 2117">
          <a:extLst>
            <a:ext uri="{FF2B5EF4-FFF2-40B4-BE49-F238E27FC236}">
              <a16:creationId xmlns:a16="http://schemas.microsoft.com/office/drawing/2014/main" id="{00000000-0008-0000-0A00-000046080000}"/>
            </a:ext>
          </a:extLst>
        </xdr:cNvPr>
        <xdr:cNvSpPr/>
      </xdr:nvSpPr>
      <xdr:spPr>
        <a:xfrm>
          <a:off x="11097760" y="168711074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828814</xdr:colOff>
      <xdr:row>126</xdr:row>
      <xdr:rowOff>541233</xdr:rowOff>
    </xdr:from>
    <xdr:to>
      <xdr:col>5</xdr:col>
      <xdr:colOff>1063276</xdr:colOff>
      <xdr:row>126</xdr:row>
      <xdr:rowOff>768367</xdr:rowOff>
    </xdr:to>
    <xdr:sp macro="" textlink="">
      <xdr:nvSpPr>
        <xdr:cNvPr id="2119" name="Organigramme : Jonction de sommaire 2118">
          <a:extLst>
            <a:ext uri="{FF2B5EF4-FFF2-40B4-BE49-F238E27FC236}">
              <a16:creationId xmlns:a16="http://schemas.microsoft.com/office/drawing/2014/main" id="{00000000-0008-0000-0A00-000047080000}"/>
            </a:ext>
          </a:extLst>
        </xdr:cNvPr>
        <xdr:cNvSpPr/>
      </xdr:nvSpPr>
      <xdr:spPr>
        <a:xfrm>
          <a:off x="11506339" y="17040055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1589506</xdr:colOff>
      <xdr:row>126</xdr:row>
      <xdr:rowOff>558084</xdr:rowOff>
    </xdr:from>
    <xdr:to>
      <xdr:col>5</xdr:col>
      <xdr:colOff>1823968</xdr:colOff>
      <xdr:row>126</xdr:row>
      <xdr:rowOff>785218</xdr:rowOff>
    </xdr:to>
    <xdr:sp macro="" textlink="">
      <xdr:nvSpPr>
        <xdr:cNvPr id="2120" name="Organigramme : Jonction de sommaire 2119">
          <a:extLst>
            <a:ext uri="{FF2B5EF4-FFF2-40B4-BE49-F238E27FC236}">
              <a16:creationId xmlns:a16="http://schemas.microsoft.com/office/drawing/2014/main" id="{00000000-0008-0000-0A00-000048080000}"/>
            </a:ext>
          </a:extLst>
        </xdr:cNvPr>
        <xdr:cNvSpPr/>
      </xdr:nvSpPr>
      <xdr:spPr>
        <a:xfrm>
          <a:off x="12267031" y="17041740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518433</xdr:colOff>
      <xdr:row>127</xdr:row>
      <xdr:rowOff>155461</xdr:rowOff>
    </xdr:from>
    <xdr:to>
      <xdr:col>5</xdr:col>
      <xdr:colOff>2232933</xdr:colOff>
      <xdr:row>127</xdr:row>
      <xdr:rowOff>164986</xdr:rowOff>
    </xdr:to>
    <xdr:cxnSp macro="">
      <xdr:nvCxnSpPr>
        <xdr:cNvPr id="2144" name="Connecteur droit 2143">
          <a:extLst>
            <a:ext uri="{FF2B5EF4-FFF2-40B4-BE49-F238E27FC236}">
              <a16:creationId xmlns:a16="http://schemas.microsoft.com/office/drawing/2014/main" id="{00000000-0008-0000-0A00-000060080000}"/>
            </a:ext>
          </a:extLst>
        </xdr:cNvPr>
        <xdr:cNvCxnSpPr/>
      </xdr:nvCxnSpPr>
      <xdr:spPr>
        <a:xfrm flipV="1">
          <a:off x="11213647" y="167809068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127</xdr:row>
      <xdr:rowOff>1903726</xdr:rowOff>
    </xdr:from>
    <xdr:to>
      <xdr:col>5</xdr:col>
      <xdr:colOff>2232688</xdr:colOff>
      <xdr:row>127</xdr:row>
      <xdr:rowOff>1916914</xdr:rowOff>
    </xdr:to>
    <xdr:cxnSp macro="">
      <xdr:nvCxnSpPr>
        <xdr:cNvPr id="2145" name="Connecteur droit 2144">
          <a:extLst>
            <a:ext uri="{FF2B5EF4-FFF2-40B4-BE49-F238E27FC236}">
              <a16:creationId xmlns:a16="http://schemas.microsoft.com/office/drawing/2014/main" id="{00000000-0008-0000-0A00-000061080000}"/>
            </a:ext>
          </a:extLst>
        </xdr:cNvPr>
        <xdr:cNvCxnSpPr/>
      </xdr:nvCxnSpPr>
      <xdr:spPr>
        <a:xfrm>
          <a:off x="11189957" y="169557333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127</xdr:row>
      <xdr:rowOff>141539</xdr:rowOff>
    </xdr:from>
    <xdr:to>
      <xdr:col>5</xdr:col>
      <xdr:colOff>506710</xdr:colOff>
      <xdr:row>127</xdr:row>
      <xdr:rowOff>293939</xdr:rowOff>
    </xdr:to>
    <xdr:sp macro="" textlink="">
      <xdr:nvSpPr>
        <xdr:cNvPr id="2146" name="Rectangle 2145">
          <a:extLst>
            <a:ext uri="{FF2B5EF4-FFF2-40B4-BE49-F238E27FC236}">
              <a16:creationId xmlns:a16="http://schemas.microsoft.com/office/drawing/2014/main" id="{00000000-0008-0000-0A00-000062080000}"/>
            </a:ext>
          </a:extLst>
        </xdr:cNvPr>
        <xdr:cNvSpPr/>
      </xdr:nvSpPr>
      <xdr:spPr>
        <a:xfrm>
          <a:off x="11049524" y="16779514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127</xdr:row>
      <xdr:rowOff>1761585</xdr:rowOff>
    </xdr:from>
    <xdr:to>
      <xdr:col>5</xdr:col>
      <xdr:colOff>516724</xdr:colOff>
      <xdr:row>127</xdr:row>
      <xdr:rowOff>1913985</xdr:rowOff>
    </xdr:to>
    <xdr:sp macro="" textlink="">
      <xdr:nvSpPr>
        <xdr:cNvPr id="2147" name="Rectangle 2146">
          <a:extLst>
            <a:ext uri="{FF2B5EF4-FFF2-40B4-BE49-F238E27FC236}">
              <a16:creationId xmlns:a16="http://schemas.microsoft.com/office/drawing/2014/main" id="{00000000-0008-0000-0A00-000063080000}"/>
            </a:ext>
          </a:extLst>
        </xdr:cNvPr>
        <xdr:cNvSpPr/>
      </xdr:nvSpPr>
      <xdr:spPr>
        <a:xfrm>
          <a:off x="11059538" y="1694151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127</xdr:row>
      <xdr:rowOff>123955</xdr:rowOff>
    </xdr:from>
    <xdr:to>
      <xdr:col>5</xdr:col>
      <xdr:colOff>2394126</xdr:colOff>
      <xdr:row>127</xdr:row>
      <xdr:rowOff>276355</xdr:rowOff>
    </xdr:to>
    <xdr:sp macro="" textlink="">
      <xdr:nvSpPr>
        <xdr:cNvPr id="2148" name="Rectangle 2147">
          <a:extLst>
            <a:ext uri="{FF2B5EF4-FFF2-40B4-BE49-F238E27FC236}">
              <a16:creationId xmlns:a16="http://schemas.microsoft.com/office/drawing/2014/main" id="{00000000-0008-0000-0A00-000064080000}"/>
            </a:ext>
          </a:extLst>
        </xdr:cNvPr>
        <xdr:cNvSpPr/>
      </xdr:nvSpPr>
      <xdr:spPr>
        <a:xfrm>
          <a:off x="12936940" y="16777756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127</xdr:row>
      <xdr:rowOff>1790892</xdr:rowOff>
    </xdr:from>
    <xdr:to>
      <xdr:col>5</xdr:col>
      <xdr:colOff>2401941</xdr:colOff>
      <xdr:row>127</xdr:row>
      <xdr:rowOff>1943292</xdr:rowOff>
    </xdr:to>
    <xdr:sp macro="" textlink="">
      <xdr:nvSpPr>
        <xdr:cNvPr id="2149" name="Rectangle 2148">
          <a:extLst>
            <a:ext uri="{FF2B5EF4-FFF2-40B4-BE49-F238E27FC236}">
              <a16:creationId xmlns:a16="http://schemas.microsoft.com/office/drawing/2014/main" id="{00000000-0008-0000-0A00-000065080000}"/>
            </a:ext>
          </a:extLst>
        </xdr:cNvPr>
        <xdr:cNvSpPr/>
      </xdr:nvSpPr>
      <xdr:spPr>
        <a:xfrm>
          <a:off x="12944755" y="1694444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127</xdr:row>
      <xdr:rowOff>630430</xdr:rowOff>
    </xdr:from>
    <xdr:to>
      <xdr:col>5</xdr:col>
      <xdr:colOff>2327329</xdr:colOff>
      <xdr:row>127</xdr:row>
      <xdr:rowOff>689045</xdr:rowOff>
    </xdr:to>
    <xdr:sp macro="" textlink="">
      <xdr:nvSpPr>
        <xdr:cNvPr id="2150" name="Rectangle 2149">
          <a:extLst>
            <a:ext uri="{FF2B5EF4-FFF2-40B4-BE49-F238E27FC236}">
              <a16:creationId xmlns:a16="http://schemas.microsoft.com/office/drawing/2014/main" id="{00000000-0008-0000-0A00-000066080000}"/>
            </a:ext>
          </a:extLst>
        </xdr:cNvPr>
        <xdr:cNvSpPr/>
      </xdr:nvSpPr>
      <xdr:spPr>
        <a:xfrm>
          <a:off x="11117543" y="16828403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2374345</xdr:colOff>
      <xdr:row>127</xdr:row>
      <xdr:rowOff>272875</xdr:rowOff>
    </xdr:from>
    <xdr:to>
      <xdr:col>5</xdr:col>
      <xdr:colOff>2375808</xdr:colOff>
      <xdr:row>127</xdr:row>
      <xdr:rowOff>1758043</xdr:rowOff>
    </xdr:to>
    <xdr:cxnSp macro="">
      <xdr:nvCxnSpPr>
        <xdr:cNvPr id="2151" name="Connecteur droit 2150">
          <a:extLst>
            <a:ext uri="{FF2B5EF4-FFF2-40B4-BE49-F238E27FC236}">
              <a16:creationId xmlns:a16="http://schemas.microsoft.com/office/drawing/2014/main" id="{00000000-0008-0000-0A00-000067080000}"/>
            </a:ext>
          </a:extLst>
        </xdr:cNvPr>
        <xdr:cNvCxnSpPr/>
      </xdr:nvCxnSpPr>
      <xdr:spPr>
        <a:xfrm>
          <a:off x="13069559" y="167926482"/>
          <a:ext cx="1463" cy="148516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518433</xdr:colOff>
      <xdr:row>127</xdr:row>
      <xdr:rowOff>155461</xdr:rowOff>
    </xdr:from>
    <xdr:to>
      <xdr:col>5</xdr:col>
      <xdr:colOff>2232933</xdr:colOff>
      <xdr:row>127</xdr:row>
      <xdr:rowOff>164986</xdr:rowOff>
    </xdr:to>
    <xdr:cxnSp macro="">
      <xdr:nvCxnSpPr>
        <xdr:cNvPr id="2152" name="Connecteur droit 2151">
          <a:extLst>
            <a:ext uri="{FF2B5EF4-FFF2-40B4-BE49-F238E27FC236}">
              <a16:creationId xmlns:a16="http://schemas.microsoft.com/office/drawing/2014/main" id="{00000000-0008-0000-0A00-000068080000}"/>
            </a:ext>
          </a:extLst>
        </xdr:cNvPr>
        <xdr:cNvCxnSpPr/>
      </xdr:nvCxnSpPr>
      <xdr:spPr>
        <a:xfrm flipV="1">
          <a:off x="11213647" y="167809068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127</xdr:row>
      <xdr:rowOff>1903726</xdr:rowOff>
    </xdr:from>
    <xdr:to>
      <xdr:col>5</xdr:col>
      <xdr:colOff>2232688</xdr:colOff>
      <xdr:row>127</xdr:row>
      <xdr:rowOff>1916914</xdr:rowOff>
    </xdr:to>
    <xdr:cxnSp macro="">
      <xdr:nvCxnSpPr>
        <xdr:cNvPr id="2153" name="Connecteur droit 2152">
          <a:extLst>
            <a:ext uri="{FF2B5EF4-FFF2-40B4-BE49-F238E27FC236}">
              <a16:creationId xmlns:a16="http://schemas.microsoft.com/office/drawing/2014/main" id="{00000000-0008-0000-0A00-000069080000}"/>
            </a:ext>
          </a:extLst>
        </xdr:cNvPr>
        <xdr:cNvCxnSpPr/>
      </xdr:nvCxnSpPr>
      <xdr:spPr>
        <a:xfrm>
          <a:off x="11189957" y="169557333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127</xdr:row>
      <xdr:rowOff>141539</xdr:rowOff>
    </xdr:from>
    <xdr:to>
      <xdr:col>5</xdr:col>
      <xdr:colOff>506710</xdr:colOff>
      <xdr:row>127</xdr:row>
      <xdr:rowOff>293939</xdr:rowOff>
    </xdr:to>
    <xdr:sp macro="" textlink="">
      <xdr:nvSpPr>
        <xdr:cNvPr id="2154" name="Rectangle 2153">
          <a:extLst>
            <a:ext uri="{FF2B5EF4-FFF2-40B4-BE49-F238E27FC236}">
              <a16:creationId xmlns:a16="http://schemas.microsoft.com/office/drawing/2014/main" id="{00000000-0008-0000-0A00-00006A080000}"/>
            </a:ext>
          </a:extLst>
        </xdr:cNvPr>
        <xdr:cNvSpPr/>
      </xdr:nvSpPr>
      <xdr:spPr>
        <a:xfrm>
          <a:off x="11049524" y="16779514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127</xdr:row>
      <xdr:rowOff>1761585</xdr:rowOff>
    </xdr:from>
    <xdr:to>
      <xdr:col>5</xdr:col>
      <xdr:colOff>516724</xdr:colOff>
      <xdr:row>127</xdr:row>
      <xdr:rowOff>1913985</xdr:rowOff>
    </xdr:to>
    <xdr:sp macro="" textlink="">
      <xdr:nvSpPr>
        <xdr:cNvPr id="2155" name="Rectangle 2154">
          <a:extLst>
            <a:ext uri="{FF2B5EF4-FFF2-40B4-BE49-F238E27FC236}">
              <a16:creationId xmlns:a16="http://schemas.microsoft.com/office/drawing/2014/main" id="{00000000-0008-0000-0A00-00006B080000}"/>
            </a:ext>
          </a:extLst>
        </xdr:cNvPr>
        <xdr:cNvSpPr/>
      </xdr:nvSpPr>
      <xdr:spPr>
        <a:xfrm>
          <a:off x="11059538" y="1694151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127</xdr:row>
      <xdr:rowOff>123955</xdr:rowOff>
    </xdr:from>
    <xdr:to>
      <xdr:col>5</xdr:col>
      <xdr:colOff>2394126</xdr:colOff>
      <xdr:row>127</xdr:row>
      <xdr:rowOff>276355</xdr:rowOff>
    </xdr:to>
    <xdr:sp macro="" textlink="">
      <xdr:nvSpPr>
        <xdr:cNvPr id="2156" name="Rectangle 2155">
          <a:extLst>
            <a:ext uri="{FF2B5EF4-FFF2-40B4-BE49-F238E27FC236}">
              <a16:creationId xmlns:a16="http://schemas.microsoft.com/office/drawing/2014/main" id="{00000000-0008-0000-0A00-00006C080000}"/>
            </a:ext>
          </a:extLst>
        </xdr:cNvPr>
        <xdr:cNvSpPr/>
      </xdr:nvSpPr>
      <xdr:spPr>
        <a:xfrm>
          <a:off x="12936940" y="16777756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127</xdr:row>
      <xdr:rowOff>1790892</xdr:rowOff>
    </xdr:from>
    <xdr:to>
      <xdr:col>5</xdr:col>
      <xdr:colOff>2401941</xdr:colOff>
      <xdr:row>127</xdr:row>
      <xdr:rowOff>1943292</xdr:rowOff>
    </xdr:to>
    <xdr:sp macro="" textlink="">
      <xdr:nvSpPr>
        <xdr:cNvPr id="2157" name="Rectangle 2156">
          <a:extLst>
            <a:ext uri="{FF2B5EF4-FFF2-40B4-BE49-F238E27FC236}">
              <a16:creationId xmlns:a16="http://schemas.microsoft.com/office/drawing/2014/main" id="{00000000-0008-0000-0A00-00006D080000}"/>
            </a:ext>
          </a:extLst>
        </xdr:cNvPr>
        <xdr:cNvSpPr/>
      </xdr:nvSpPr>
      <xdr:spPr>
        <a:xfrm>
          <a:off x="12944755" y="1694444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858122</xdr:colOff>
      <xdr:row>127</xdr:row>
      <xdr:rowOff>533296</xdr:rowOff>
    </xdr:from>
    <xdr:to>
      <xdr:col>5</xdr:col>
      <xdr:colOff>1092584</xdr:colOff>
      <xdr:row>127</xdr:row>
      <xdr:rowOff>760430</xdr:rowOff>
    </xdr:to>
    <xdr:sp macro="" textlink="">
      <xdr:nvSpPr>
        <xdr:cNvPr id="2158" name="Organigramme : Jonction de sommaire 2157">
          <a:extLst>
            <a:ext uri="{FF2B5EF4-FFF2-40B4-BE49-F238E27FC236}">
              <a16:creationId xmlns:a16="http://schemas.microsoft.com/office/drawing/2014/main" id="{00000000-0008-0000-0A00-00006E080000}"/>
            </a:ext>
          </a:extLst>
        </xdr:cNvPr>
        <xdr:cNvSpPr/>
      </xdr:nvSpPr>
      <xdr:spPr>
        <a:xfrm>
          <a:off x="11553336" y="16818690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1618814</xdr:colOff>
      <xdr:row>127</xdr:row>
      <xdr:rowOff>540622</xdr:rowOff>
    </xdr:from>
    <xdr:to>
      <xdr:col>5</xdr:col>
      <xdr:colOff>1853276</xdr:colOff>
      <xdr:row>127</xdr:row>
      <xdr:rowOff>767756</xdr:rowOff>
    </xdr:to>
    <xdr:sp macro="" textlink="">
      <xdr:nvSpPr>
        <xdr:cNvPr id="2159" name="Organigramme : Jonction de sommaire 2158">
          <a:extLst>
            <a:ext uri="{FF2B5EF4-FFF2-40B4-BE49-F238E27FC236}">
              <a16:creationId xmlns:a16="http://schemas.microsoft.com/office/drawing/2014/main" id="{00000000-0008-0000-0A00-00006F080000}"/>
            </a:ext>
          </a:extLst>
        </xdr:cNvPr>
        <xdr:cNvSpPr/>
      </xdr:nvSpPr>
      <xdr:spPr>
        <a:xfrm>
          <a:off x="12314028" y="16819422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370795</xdr:colOff>
      <xdr:row>127</xdr:row>
      <xdr:rowOff>327706</xdr:rowOff>
    </xdr:from>
    <xdr:to>
      <xdr:col>5</xdr:col>
      <xdr:colOff>370921</xdr:colOff>
      <xdr:row>127</xdr:row>
      <xdr:rowOff>1764394</xdr:rowOff>
    </xdr:to>
    <xdr:cxnSp macro="">
      <xdr:nvCxnSpPr>
        <xdr:cNvPr id="2160" name="Connecteur droit 2159">
          <a:extLst>
            <a:ext uri="{FF2B5EF4-FFF2-40B4-BE49-F238E27FC236}">
              <a16:creationId xmlns:a16="http://schemas.microsoft.com/office/drawing/2014/main" id="{00000000-0008-0000-0A00-000070080000}"/>
            </a:ext>
          </a:extLst>
        </xdr:cNvPr>
        <xdr:cNvCxnSpPr/>
      </xdr:nvCxnSpPr>
      <xdr:spPr>
        <a:xfrm flipH="1">
          <a:off x="11066009" y="167981313"/>
          <a:ext cx="126" cy="14366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410483</xdr:colOff>
      <xdr:row>127</xdr:row>
      <xdr:rowOff>1455929</xdr:rowOff>
    </xdr:from>
    <xdr:to>
      <xdr:col>5</xdr:col>
      <xdr:colOff>2315483</xdr:colOff>
      <xdr:row>127</xdr:row>
      <xdr:rowOff>1514544</xdr:rowOff>
    </xdr:to>
    <xdr:sp macro="" textlink="">
      <xdr:nvSpPr>
        <xdr:cNvPr id="2161" name="Rectangle 2160">
          <a:extLst>
            <a:ext uri="{FF2B5EF4-FFF2-40B4-BE49-F238E27FC236}">
              <a16:creationId xmlns:a16="http://schemas.microsoft.com/office/drawing/2014/main" id="{00000000-0008-0000-0A00-000071080000}"/>
            </a:ext>
          </a:extLst>
        </xdr:cNvPr>
        <xdr:cNvSpPr/>
      </xdr:nvSpPr>
      <xdr:spPr>
        <a:xfrm>
          <a:off x="11105697" y="169109536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846276</xdr:colOff>
      <xdr:row>127</xdr:row>
      <xdr:rowOff>1358795</xdr:rowOff>
    </xdr:from>
    <xdr:to>
      <xdr:col>5</xdr:col>
      <xdr:colOff>1080738</xdr:colOff>
      <xdr:row>127</xdr:row>
      <xdr:rowOff>1585929</xdr:rowOff>
    </xdr:to>
    <xdr:sp macro="" textlink="">
      <xdr:nvSpPr>
        <xdr:cNvPr id="2162" name="Organigramme : Jonction de sommaire 2161">
          <a:extLst>
            <a:ext uri="{FF2B5EF4-FFF2-40B4-BE49-F238E27FC236}">
              <a16:creationId xmlns:a16="http://schemas.microsoft.com/office/drawing/2014/main" id="{00000000-0008-0000-0A00-000072080000}"/>
            </a:ext>
          </a:extLst>
        </xdr:cNvPr>
        <xdr:cNvSpPr/>
      </xdr:nvSpPr>
      <xdr:spPr>
        <a:xfrm>
          <a:off x="11541490" y="16901240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1606968</xdr:colOff>
      <xdr:row>127</xdr:row>
      <xdr:rowOff>1366121</xdr:rowOff>
    </xdr:from>
    <xdr:to>
      <xdr:col>5</xdr:col>
      <xdr:colOff>1841430</xdr:colOff>
      <xdr:row>127</xdr:row>
      <xdr:rowOff>1593255</xdr:rowOff>
    </xdr:to>
    <xdr:sp macro="" textlink="">
      <xdr:nvSpPr>
        <xdr:cNvPr id="2163" name="Organigramme : Jonction de sommaire 2162">
          <a:extLst>
            <a:ext uri="{FF2B5EF4-FFF2-40B4-BE49-F238E27FC236}">
              <a16:creationId xmlns:a16="http://schemas.microsoft.com/office/drawing/2014/main" id="{00000000-0008-0000-0A00-000073080000}"/>
            </a:ext>
          </a:extLst>
        </xdr:cNvPr>
        <xdr:cNvSpPr/>
      </xdr:nvSpPr>
      <xdr:spPr>
        <a:xfrm>
          <a:off x="12302182" y="16901972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127</xdr:row>
      <xdr:rowOff>1057467</xdr:rowOff>
    </xdr:from>
    <xdr:to>
      <xdr:col>5</xdr:col>
      <xdr:colOff>2307546</xdr:colOff>
      <xdr:row>127</xdr:row>
      <xdr:rowOff>1116082</xdr:rowOff>
    </xdr:to>
    <xdr:sp macro="" textlink="">
      <xdr:nvSpPr>
        <xdr:cNvPr id="2164" name="Rectangle 2163">
          <a:extLst>
            <a:ext uri="{FF2B5EF4-FFF2-40B4-BE49-F238E27FC236}">
              <a16:creationId xmlns:a16="http://schemas.microsoft.com/office/drawing/2014/main" id="{00000000-0008-0000-0A00-000074080000}"/>
            </a:ext>
          </a:extLst>
        </xdr:cNvPr>
        <xdr:cNvSpPr/>
      </xdr:nvSpPr>
      <xdr:spPr>
        <a:xfrm>
          <a:off x="11097760" y="168711074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838339</xdr:colOff>
      <xdr:row>127</xdr:row>
      <xdr:rowOff>960333</xdr:rowOff>
    </xdr:from>
    <xdr:to>
      <xdr:col>5</xdr:col>
      <xdr:colOff>1072801</xdr:colOff>
      <xdr:row>127</xdr:row>
      <xdr:rowOff>1187467</xdr:rowOff>
    </xdr:to>
    <xdr:sp macro="" textlink="">
      <xdr:nvSpPr>
        <xdr:cNvPr id="2165" name="Organigramme : Jonction de sommaire 2164">
          <a:extLst>
            <a:ext uri="{FF2B5EF4-FFF2-40B4-BE49-F238E27FC236}">
              <a16:creationId xmlns:a16="http://schemas.microsoft.com/office/drawing/2014/main" id="{00000000-0008-0000-0A00-000075080000}"/>
            </a:ext>
          </a:extLst>
        </xdr:cNvPr>
        <xdr:cNvSpPr/>
      </xdr:nvSpPr>
      <xdr:spPr>
        <a:xfrm>
          <a:off x="11533553" y="16861394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1599031</xdr:colOff>
      <xdr:row>127</xdr:row>
      <xdr:rowOff>967659</xdr:rowOff>
    </xdr:from>
    <xdr:to>
      <xdr:col>5</xdr:col>
      <xdr:colOff>1833493</xdr:colOff>
      <xdr:row>127</xdr:row>
      <xdr:rowOff>1194793</xdr:rowOff>
    </xdr:to>
    <xdr:sp macro="" textlink="">
      <xdr:nvSpPr>
        <xdr:cNvPr id="2166" name="Organigramme : Jonction de sommaire 2165">
          <a:extLst>
            <a:ext uri="{FF2B5EF4-FFF2-40B4-BE49-F238E27FC236}">
              <a16:creationId xmlns:a16="http://schemas.microsoft.com/office/drawing/2014/main" id="{00000000-0008-0000-0A00-000076080000}"/>
            </a:ext>
          </a:extLst>
        </xdr:cNvPr>
        <xdr:cNvSpPr/>
      </xdr:nvSpPr>
      <xdr:spPr>
        <a:xfrm>
          <a:off x="12294245" y="16862126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128</xdr:row>
      <xdr:rowOff>141539</xdr:rowOff>
    </xdr:from>
    <xdr:to>
      <xdr:col>5</xdr:col>
      <xdr:colOff>506710</xdr:colOff>
      <xdr:row>128</xdr:row>
      <xdr:rowOff>293939</xdr:rowOff>
    </xdr:to>
    <xdr:sp macro="" textlink="">
      <xdr:nvSpPr>
        <xdr:cNvPr id="2167" name="Rectangle 2166">
          <a:extLst>
            <a:ext uri="{FF2B5EF4-FFF2-40B4-BE49-F238E27FC236}">
              <a16:creationId xmlns:a16="http://schemas.microsoft.com/office/drawing/2014/main" id="{00000000-0008-0000-0A00-00007708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128</xdr:row>
      <xdr:rowOff>1761585</xdr:rowOff>
    </xdr:from>
    <xdr:to>
      <xdr:col>5</xdr:col>
      <xdr:colOff>516724</xdr:colOff>
      <xdr:row>128</xdr:row>
      <xdr:rowOff>1913985</xdr:rowOff>
    </xdr:to>
    <xdr:sp macro="" textlink="">
      <xdr:nvSpPr>
        <xdr:cNvPr id="2168" name="Rectangle 2167">
          <a:extLst>
            <a:ext uri="{FF2B5EF4-FFF2-40B4-BE49-F238E27FC236}">
              <a16:creationId xmlns:a16="http://schemas.microsoft.com/office/drawing/2014/main" id="{00000000-0008-0000-0A00-00007808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128</xdr:row>
      <xdr:rowOff>123955</xdr:rowOff>
    </xdr:from>
    <xdr:to>
      <xdr:col>5</xdr:col>
      <xdr:colOff>2394126</xdr:colOff>
      <xdr:row>128</xdr:row>
      <xdr:rowOff>276355</xdr:rowOff>
    </xdr:to>
    <xdr:sp macro="" textlink="">
      <xdr:nvSpPr>
        <xdr:cNvPr id="2169" name="Rectangle 2168">
          <a:extLst>
            <a:ext uri="{FF2B5EF4-FFF2-40B4-BE49-F238E27FC236}">
              <a16:creationId xmlns:a16="http://schemas.microsoft.com/office/drawing/2014/main" id="{00000000-0008-0000-0A00-00007908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128</xdr:row>
      <xdr:rowOff>1790892</xdr:rowOff>
    </xdr:from>
    <xdr:to>
      <xdr:col>5</xdr:col>
      <xdr:colOff>2401941</xdr:colOff>
      <xdr:row>128</xdr:row>
      <xdr:rowOff>1943292</xdr:rowOff>
    </xdr:to>
    <xdr:sp macro="" textlink="">
      <xdr:nvSpPr>
        <xdr:cNvPr id="2170" name="Rectangle 2169">
          <a:extLst>
            <a:ext uri="{FF2B5EF4-FFF2-40B4-BE49-F238E27FC236}">
              <a16:creationId xmlns:a16="http://schemas.microsoft.com/office/drawing/2014/main" id="{00000000-0008-0000-0A00-00007A08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128</xdr:row>
      <xdr:rowOff>630430</xdr:rowOff>
    </xdr:from>
    <xdr:to>
      <xdr:col>5</xdr:col>
      <xdr:colOff>2327329</xdr:colOff>
      <xdr:row>128</xdr:row>
      <xdr:rowOff>689045</xdr:rowOff>
    </xdr:to>
    <xdr:sp macro="" textlink="">
      <xdr:nvSpPr>
        <xdr:cNvPr id="2171" name="Rectangle 2170">
          <a:extLst>
            <a:ext uri="{FF2B5EF4-FFF2-40B4-BE49-F238E27FC236}">
              <a16:creationId xmlns:a16="http://schemas.microsoft.com/office/drawing/2014/main" id="{00000000-0008-0000-0A00-00007B080000}"/>
            </a:ext>
          </a:extLst>
        </xdr:cNvPr>
        <xdr:cNvSpPr/>
      </xdr:nvSpPr>
      <xdr:spPr>
        <a:xfrm>
          <a:off x="11117543" y="16017418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128</xdr:row>
      <xdr:rowOff>141539</xdr:rowOff>
    </xdr:from>
    <xdr:to>
      <xdr:col>5</xdr:col>
      <xdr:colOff>506710</xdr:colOff>
      <xdr:row>128</xdr:row>
      <xdr:rowOff>293939</xdr:rowOff>
    </xdr:to>
    <xdr:sp macro="" textlink="">
      <xdr:nvSpPr>
        <xdr:cNvPr id="2172" name="Rectangle 2171">
          <a:extLst>
            <a:ext uri="{FF2B5EF4-FFF2-40B4-BE49-F238E27FC236}">
              <a16:creationId xmlns:a16="http://schemas.microsoft.com/office/drawing/2014/main" id="{00000000-0008-0000-0A00-00007C08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128</xdr:row>
      <xdr:rowOff>1761585</xdr:rowOff>
    </xdr:from>
    <xdr:to>
      <xdr:col>5</xdr:col>
      <xdr:colOff>516724</xdr:colOff>
      <xdr:row>128</xdr:row>
      <xdr:rowOff>1913985</xdr:rowOff>
    </xdr:to>
    <xdr:sp macro="" textlink="">
      <xdr:nvSpPr>
        <xdr:cNvPr id="2173" name="Rectangle 2172">
          <a:extLst>
            <a:ext uri="{FF2B5EF4-FFF2-40B4-BE49-F238E27FC236}">
              <a16:creationId xmlns:a16="http://schemas.microsoft.com/office/drawing/2014/main" id="{00000000-0008-0000-0A00-00007D08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128</xdr:row>
      <xdr:rowOff>123955</xdr:rowOff>
    </xdr:from>
    <xdr:to>
      <xdr:col>5</xdr:col>
      <xdr:colOff>2394126</xdr:colOff>
      <xdr:row>128</xdr:row>
      <xdr:rowOff>276355</xdr:rowOff>
    </xdr:to>
    <xdr:sp macro="" textlink="">
      <xdr:nvSpPr>
        <xdr:cNvPr id="2174" name="Rectangle 2173">
          <a:extLst>
            <a:ext uri="{FF2B5EF4-FFF2-40B4-BE49-F238E27FC236}">
              <a16:creationId xmlns:a16="http://schemas.microsoft.com/office/drawing/2014/main" id="{00000000-0008-0000-0A00-00007E08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128</xdr:row>
      <xdr:rowOff>1790892</xdr:rowOff>
    </xdr:from>
    <xdr:to>
      <xdr:col>5</xdr:col>
      <xdr:colOff>2401941</xdr:colOff>
      <xdr:row>128</xdr:row>
      <xdr:rowOff>1943292</xdr:rowOff>
    </xdr:to>
    <xdr:sp macro="" textlink="">
      <xdr:nvSpPr>
        <xdr:cNvPr id="2175" name="Rectangle 2174">
          <a:extLst>
            <a:ext uri="{FF2B5EF4-FFF2-40B4-BE49-F238E27FC236}">
              <a16:creationId xmlns:a16="http://schemas.microsoft.com/office/drawing/2014/main" id="{00000000-0008-0000-0A00-00007F08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128</xdr:row>
      <xdr:rowOff>1455929</xdr:rowOff>
    </xdr:from>
    <xdr:to>
      <xdr:col>5</xdr:col>
      <xdr:colOff>2315483</xdr:colOff>
      <xdr:row>128</xdr:row>
      <xdr:rowOff>1514544</xdr:rowOff>
    </xdr:to>
    <xdr:sp macro="" textlink="">
      <xdr:nvSpPr>
        <xdr:cNvPr id="2176" name="Rectangle 2175">
          <a:extLst>
            <a:ext uri="{FF2B5EF4-FFF2-40B4-BE49-F238E27FC236}">
              <a16:creationId xmlns:a16="http://schemas.microsoft.com/office/drawing/2014/main" id="{00000000-0008-0000-0A00-000080080000}"/>
            </a:ext>
          </a:extLst>
        </xdr:cNvPr>
        <xdr:cNvSpPr/>
      </xdr:nvSpPr>
      <xdr:spPr>
        <a:xfrm>
          <a:off x="11105697" y="16099967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128</xdr:row>
      <xdr:rowOff>1057467</xdr:rowOff>
    </xdr:from>
    <xdr:to>
      <xdr:col>5</xdr:col>
      <xdr:colOff>2307546</xdr:colOff>
      <xdr:row>128</xdr:row>
      <xdr:rowOff>1116082</xdr:rowOff>
    </xdr:to>
    <xdr:sp macro="" textlink="">
      <xdr:nvSpPr>
        <xdr:cNvPr id="2177" name="Rectangle 2176">
          <a:extLst>
            <a:ext uri="{FF2B5EF4-FFF2-40B4-BE49-F238E27FC236}">
              <a16:creationId xmlns:a16="http://schemas.microsoft.com/office/drawing/2014/main" id="{00000000-0008-0000-0A00-000081080000}"/>
            </a:ext>
          </a:extLst>
        </xdr:cNvPr>
        <xdr:cNvSpPr/>
      </xdr:nvSpPr>
      <xdr:spPr>
        <a:xfrm>
          <a:off x="11097760" y="16060121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129</xdr:row>
      <xdr:rowOff>141539</xdr:rowOff>
    </xdr:from>
    <xdr:to>
      <xdr:col>5</xdr:col>
      <xdr:colOff>506710</xdr:colOff>
      <xdr:row>129</xdr:row>
      <xdr:rowOff>293939</xdr:rowOff>
    </xdr:to>
    <xdr:sp macro="" textlink="">
      <xdr:nvSpPr>
        <xdr:cNvPr id="2178" name="Rectangle 2177">
          <a:extLst>
            <a:ext uri="{FF2B5EF4-FFF2-40B4-BE49-F238E27FC236}">
              <a16:creationId xmlns:a16="http://schemas.microsoft.com/office/drawing/2014/main" id="{00000000-0008-0000-0A00-000082080000}"/>
            </a:ext>
          </a:extLst>
        </xdr:cNvPr>
        <xdr:cNvSpPr/>
      </xdr:nvSpPr>
      <xdr:spPr>
        <a:xfrm>
          <a:off x="11049524" y="16171275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129</xdr:row>
      <xdr:rowOff>1761585</xdr:rowOff>
    </xdr:from>
    <xdr:to>
      <xdr:col>5</xdr:col>
      <xdr:colOff>516724</xdr:colOff>
      <xdr:row>129</xdr:row>
      <xdr:rowOff>1913985</xdr:rowOff>
    </xdr:to>
    <xdr:sp macro="" textlink="">
      <xdr:nvSpPr>
        <xdr:cNvPr id="2179" name="Rectangle 2178">
          <a:extLst>
            <a:ext uri="{FF2B5EF4-FFF2-40B4-BE49-F238E27FC236}">
              <a16:creationId xmlns:a16="http://schemas.microsoft.com/office/drawing/2014/main" id="{00000000-0008-0000-0A00-000083080000}"/>
            </a:ext>
          </a:extLst>
        </xdr:cNvPr>
        <xdr:cNvSpPr/>
      </xdr:nvSpPr>
      <xdr:spPr>
        <a:xfrm>
          <a:off x="11059538" y="1633327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129</xdr:row>
      <xdr:rowOff>123955</xdr:rowOff>
    </xdr:from>
    <xdr:to>
      <xdr:col>5</xdr:col>
      <xdr:colOff>2394126</xdr:colOff>
      <xdr:row>129</xdr:row>
      <xdr:rowOff>276355</xdr:rowOff>
    </xdr:to>
    <xdr:sp macro="" textlink="">
      <xdr:nvSpPr>
        <xdr:cNvPr id="2180" name="Rectangle 2179">
          <a:extLst>
            <a:ext uri="{FF2B5EF4-FFF2-40B4-BE49-F238E27FC236}">
              <a16:creationId xmlns:a16="http://schemas.microsoft.com/office/drawing/2014/main" id="{00000000-0008-0000-0A00-000084080000}"/>
            </a:ext>
          </a:extLst>
        </xdr:cNvPr>
        <xdr:cNvSpPr/>
      </xdr:nvSpPr>
      <xdr:spPr>
        <a:xfrm>
          <a:off x="12936940" y="16169516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129</xdr:row>
      <xdr:rowOff>1790892</xdr:rowOff>
    </xdr:from>
    <xdr:to>
      <xdr:col>5</xdr:col>
      <xdr:colOff>2401941</xdr:colOff>
      <xdr:row>129</xdr:row>
      <xdr:rowOff>1943292</xdr:rowOff>
    </xdr:to>
    <xdr:sp macro="" textlink="">
      <xdr:nvSpPr>
        <xdr:cNvPr id="2181" name="Rectangle 2180">
          <a:extLst>
            <a:ext uri="{FF2B5EF4-FFF2-40B4-BE49-F238E27FC236}">
              <a16:creationId xmlns:a16="http://schemas.microsoft.com/office/drawing/2014/main" id="{00000000-0008-0000-0A00-000085080000}"/>
            </a:ext>
          </a:extLst>
        </xdr:cNvPr>
        <xdr:cNvSpPr/>
      </xdr:nvSpPr>
      <xdr:spPr>
        <a:xfrm>
          <a:off x="12944755" y="16336210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129</xdr:row>
      <xdr:rowOff>630430</xdr:rowOff>
    </xdr:from>
    <xdr:to>
      <xdr:col>5</xdr:col>
      <xdr:colOff>2327329</xdr:colOff>
      <xdr:row>129</xdr:row>
      <xdr:rowOff>689045</xdr:rowOff>
    </xdr:to>
    <xdr:sp macro="" textlink="">
      <xdr:nvSpPr>
        <xdr:cNvPr id="2182" name="Rectangle 2181">
          <a:extLst>
            <a:ext uri="{FF2B5EF4-FFF2-40B4-BE49-F238E27FC236}">
              <a16:creationId xmlns:a16="http://schemas.microsoft.com/office/drawing/2014/main" id="{00000000-0008-0000-0A00-000086080000}"/>
            </a:ext>
          </a:extLst>
        </xdr:cNvPr>
        <xdr:cNvSpPr/>
      </xdr:nvSpPr>
      <xdr:spPr>
        <a:xfrm>
          <a:off x="11117543" y="162201644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129</xdr:row>
      <xdr:rowOff>141539</xdr:rowOff>
    </xdr:from>
    <xdr:to>
      <xdr:col>5</xdr:col>
      <xdr:colOff>506710</xdr:colOff>
      <xdr:row>129</xdr:row>
      <xdr:rowOff>293939</xdr:rowOff>
    </xdr:to>
    <xdr:sp macro="" textlink="">
      <xdr:nvSpPr>
        <xdr:cNvPr id="2183" name="Rectangle 2182">
          <a:extLst>
            <a:ext uri="{FF2B5EF4-FFF2-40B4-BE49-F238E27FC236}">
              <a16:creationId xmlns:a16="http://schemas.microsoft.com/office/drawing/2014/main" id="{00000000-0008-0000-0A00-000087080000}"/>
            </a:ext>
          </a:extLst>
        </xdr:cNvPr>
        <xdr:cNvSpPr/>
      </xdr:nvSpPr>
      <xdr:spPr>
        <a:xfrm>
          <a:off x="11049524" y="16171275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129</xdr:row>
      <xdr:rowOff>1761585</xdr:rowOff>
    </xdr:from>
    <xdr:to>
      <xdr:col>5</xdr:col>
      <xdr:colOff>516724</xdr:colOff>
      <xdr:row>129</xdr:row>
      <xdr:rowOff>1913985</xdr:rowOff>
    </xdr:to>
    <xdr:sp macro="" textlink="">
      <xdr:nvSpPr>
        <xdr:cNvPr id="2184" name="Rectangle 2183">
          <a:extLst>
            <a:ext uri="{FF2B5EF4-FFF2-40B4-BE49-F238E27FC236}">
              <a16:creationId xmlns:a16="http://schemas.microsoft.com/office/drawing/2014/main" id="{00000000-0008-0000-0A00-000088080000}"/>
            </a:ext>
          </a:extLst>
        </xdr:cNvPr>
        <xdr:cNvSpPr/>
      </xdr:nvSpPr>
      <xdr:spPr>
        <a:xfrm>
          <a:off x="11059538" y="1633327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129</xdr:row>
      <xdr:rowOff>123955</xdr:rowOff>
    </xdr:from>
    <xdr:to>
      <xdr:col>5</xdr:col>
      <xdr:colOff>2394126</xdr:colOff>
      <xdr:row>129</xdr:row>
      <xdr:rowOff>276355</xdr:rowOff>
    </xdr:to>
    <xdr:sp macro="" textlink="">
      <xdr:nvSpPr>
        <xdr:cNvPr id="2185" name="Rectangle 2184">
          <a:extLst>
            <a:ext uri="{FF2B5EF4-FFF2-40B4-BE49-F238E27FC236}">
              <a16:creationId xmlns:a16="http://schemas.microsoft.com/office/drawing/2014/main" id="{00000000-0008-0000-0A00-000089080000}"/>
            </a:ext>
          </a:extLst>
        </xdr:cNvPr>
        <xdr:cNvSpPr/>
      </xdr:nvSpPr>
      <xdr:spPr>
        <a:xfrm>
          <a:off x="12936940" y="16169516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129</xdr:row>
      <xdr:rowOff>1790892</xdr:rowOff>
    </xdr:from>
    <xdr:to>
      <xdr:col>5</xdr:col>
      <xdr:colOff>2401941</xdr:colOff>
      <xdr:row>129</xdr:row>
      <xdr:rowOff>1943292</xdr:rowOff>
    </xdr:to>
    <xdr:sp macro="" textlink="">
      <xdr:nvSpPr>
        <xdr:cNvPr id="2186" name="Rectangle 2185">
          <a:extLst>
            <a:ext uri="{FF2B5EF4-FFF2-40B4-BE49-F238E27FC236}">
              <a16:creationId xmlns:a16="http://schemas.microsoft.com/office/drawing/2014/main" id="{00000000-0008-0000-0A00-00008A080000}"/>
            </a:ext>
          </a:extLst>
        </xdr:cNvPr>
        <xdr:cNvSpPr/>
      </xdr:nvSpPr>
      <xdr:spPr>
        <a:xfrm>
          <a:off x="12944755" y="16336210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129</xdr:row>
      <xdr:rowOff>1455929</xdr:rowOff>
    </xdr:from>
    <xdr:to>
      <xdr:col>5</xdr:col>
      <xdr:colOff>2315483</xdr:colOff>
      <xdr:row>129</xdr:row>
      <xdr:rowOff>1514544</xdr:rowOff>
    </xdr:to>
    <xdr:sp macro="" textlink="">
      <xdr:nvSpPr>
        <xdr:cNvPr id="2187" name="Rectangle 2186">
          <a:extLst>
            <a:ext uri="{FF2B5EF4-FFF2-40B4-BE49-F238E27FC236}">
              <a16:creationId xmlns:a16="http://schemas.microsoft.com/office/drawing/2014/main" id="{00000000-0008-0000-0A00-00008B080000}"/>
            </a:ext>
          </a:extLst>
        </xdr:cNvPr>
        <xdr:cNvSpPr/>
      </xdr:nvSpPr>
      <xdr:spPr>
        <a:xfrm>
          <a:off x="11105697" y="163027143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129</xdr:row>
      <xdr:rowOff>1057467</xdr:rowOff>
    </xdr:from>
    <xdr:to>
      <xdr:col>5</xdr:col>
      <xdr:colOff>2307546</xdr:colOff>
      <xdr:row>129</xdr:row>
      <xdr:rowOff>1116082</xdr:rowOff>
    </xdr:to>
    <xdr:sp macro="" textlink="">
      <xdr:nvSpPr>
        <xdr:cNvPr id="2188" name="Rectangle 2187">
          <a:extLst>
            <a:ext uri="{FF2B5EF4-FFF2-40B4-BE49-F238E27FC236}">
              <a16:creationId xmlns:a16="http://schemas.microsoft.com/office/drawing/2014/main" id="{00000000-0008-0000-0A00-00008C080000}"/>
            </a:ext>
          </a:extLst>
        </xdr:cNvPr>
        <xdr:cNvSpPr/>
      </xdr:nvSpPr>
      <xdr:spPr>
        <a:xfrm>
          <a:off x="11097760" y="162628681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801600</xdr:colOff>
      <xdr:row>129</xdr:row>
      <xdr:rowOff>554840</xdr:rowOff>
    </xdr:from>
    <xdr:to>
      <xdr:col>5</xdr:col>
      <xdr:colOff>1036062</xdr:colOff>
      <xdr:row>129</xdr:row>
      <xdr:rowOff>781974</xdr:rowOff>
    </xdr:to>
    <xdr:sp macro="" textlink="">
      <xdr:nvSpPr>
        <xdr:cNvPr id="2189" name="Organigramme : Jonction de sommaire 2188">
          <a:extLst>
            <a:ext uri="{FF2B5EF4-FFF2-40B4-BE49-F238E27FC236}">
              <a16:creationId xmlns:a16="http://schemas.microsoft.com/office/drawing/2014/main" id="{00000000-0008-0000-0A00-00008D080000}"/>
            </a:ext>
          </a:extLst>
        </xdr:cNvPr>
        <xdr:cNvSpPr/>
      </xdr:nvSpPr>
      <xdr:spPr>
        <a:xfrm>
          <a:off x="11479125" y="17852946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1615360</xdr:colOff>
      <xdr:row>129</xdr:row>
      <xdr:rowOff>552641</xdr:rowOff>
    </xdr:from>
    <xdr:to>
      <xdr:col>5</xdr:col>
      <xdr:colOff>1849822</xdr:colOff>
      <xdr:row>129</xdr:row>
      <xdr:rowOff>779775</xdr:rowOff>
    </xdr:to>
    <xdr:sp macro="" textlink="">
      <xdr:nvSpPr>
        <xdr:cNvPr id="2190" name="Organigramme : Jonction de sommaire 2189">
          <a:extLst>
            <a:ext uri="{FF2B5EF4-FFF2-40B4-BE49-F238E27FC236}">
              <a16:creationId xmlns:a16="http://schemas.microsoft.com/office/drawing/2014/main" id="{00000000-0008-0000-0A00-00008E080000}"/>
            </a:ext>
          </a:extLst>
        </xdr:cNvPr>
        <xdr:cNvSpPr/>
      </xdr:nvSpPr>
      <xdr:spPr>
        <a:xfrm>
          <a:off x="12292885" y="17852726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518433</xdr:colOff>
      <xdr:row>131</xdr:row>
      <xdr:rowOff>155461</xdr:rowOff>
    </xdr:from>
    <xdr:to>
      <xdr:col>5</xdr:col>
      <xdr:colOff>2232933</xdr:colOff>
      <xdr:row>131</xdr:row>
      <xdr:rowOff>164986</xdr:rowOff>
    </xdr:to>
    <xdr:cxnSp macro="">
      <xdr:nvCxnSpPr>
        <xdr:cNvPr id="2191" name="Connecteur droit 2190">
          <a:extLst>
            <a:ext uri="{FF2B5EF4-FFF2-40B4-BE49-F238E27FC236}">
              <a16:creationId xmlns:a16="http://schemas.microsoft.com/office/drawing/2014/main" id="{00000000-0008-0000-0A00-00008F080000}"/>
            </a:ext>
          </a:extLst>
        </xdr:cNvPr>
        <xdr:cNvCxnSpPr/>
      </xdr:nvCxnSpPr>
      <xdr:spPr>
        <a:xfrm flipV="1">
          <a:off x="11213647" y="167809068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131</xdr:row>
      <xdr:rowOff>1903726</xdr:rowOff>
    </xdr:from>
    <xdr:to>
      <xdr:col>5</xdr:col>
      <xdr:colOff>2232688</xdr:colOff>
      <xdr:row>131</xdr:row>
      <xdr:rowOff>1916914</xdr:rowOff>
    </xdr:to>
    <xdr:cxnSp macro="">
      <xdr:nvCxnSpPr>
        <xdr:cNvPr id="2192" name="Connecteur droit 2191">
          <a:extLst>
            <a:ext uri="{FF2B5EF4-FFF2-40B4-BE49-F238E27FC236}">
              <a16:creationId xmlns:a16="http://schemas.microsoft.com/office/drawing/2014/main" id="{00000000-0008-0000-0A00-000090080000}"/>
            </a:ext>
          </a:extLst>
        </xdr:cNvPr>
        <xdr:cNvCxnSpPr/>
      </xdr:nvCxnSpPr>
      <xdr:spPr>
        <a:xfrm>
          <a:off x="11189957" y="169557333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131</xdr:row>
      <xdr:rowOff>141539</xdr:rowOff>
    </xdr:from>
    <xdr:to>
      <xdr:col>5</xdr:col>
      <xdr:colOff>506710</xdr:colOff>
      <xdr:row>131</xdr:row>
      <xdr:rowOff>293939</xdr:rowOff>
    </xdr:to>
    <xdr:sp macro="" textlink="">
      <xdr:nvSpPr>
        <xdr:cNvPr id="2193" name="Rectangle 2192">
          <a:extLst>
            <a:ext uri="{FF2B5EF4-FFF2-40B4-BE49-F238E27FC236}">
              <a16:creationId xmlns:a16="http://schemas.microsoft.com/office/drawing/2014/main" id="{00000000-0008-0000-0A00-000091080000}"/>
            </a:ext>
          </a:extLst>
        </xdr:cNvPr>
        <xdr:cNvSpPr/>
      </xdr:nvSpPr>
      <xdr:spPr>
        <a:xfrm>
          <a:off x="11049524" y="16779514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131</xdr:row>
      <xdr:rowOff>1761585</xdr:rowOff>
    </xdr:from>
    <xdr:to>
      <xdr:col>5</xdr:col>
      <xdr:colOff>516724</xdr:colOff>
      <xdr:row>131</xdr:row>
      <xdr:rowOff>1913985</xdr:rowOff>
    </xdr:to>
    <xdr:sp macro="" textlink="">
      <xdr:nvSpPr>
        <xdr:cNvPr id="2194" name="Rectangle 2193">
          <a:extLst>
            <a:ext uri="{FF2B5EF4-FFF2-40B4-BE49-F238E27FC236}">
              <a16:creationId xmlns:a16="http://schemas.microsoft.com/office/drawing/2014/main" id="{00000000-0008-0000-0A00-000092080000}"/>
            </a:ext>
          </a:extLst>
        </xdr:cNvPr>
        <xdr:cNvSpPr/>
      </xdr:nvSpPr>
      <xdr:spPr>
        <a:xfrm>
          <a:off x="11059538" y="1694151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131</xdr:row>
      <xdr:rowOff>123955</xdr:rowOff>
    </xdr:from>
    <xdr:to>
      <xdr:col>5</xdr:col>
      <xdr:colOff>2394126</xdr:colOff>
      <xdr:row>131</xdr:row>
      <xdr:rowOff>276355</xdr:rowOff>
    </xdr:to>
    <xdr:sp macro="" textlink="">
      <xdr:nvSpPr>
        <xdr:cNvPr id="2195" name="Rectangle 2194">
          <a:extLst>
            <a:ext uri="{FF2B5EF4-FFF2-40B4-BE49-F238E27FC236}">
              <a16:creationId xmlns:a16="http://schemas.microsoft.com/office/drawing/2014/main" id="{00000000-0008-0000-0A00-000093080000}"/>
            </a:ext>
          </a:extLst>
        </xdr:cNvPr>
        <xdr:cNvSpPr/>
      </xdr:nvSpPr>
      <xdr:spPr>
        <a:xfrm>
          <a:off x="12936940" y="16777756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131</xdr:row>
      <xdr:rowOff>1790892</xdr:rowOff>
    </xdr:from>
    <xdr:to>
      <xdr:col>5</xdr:col>
      <xdr:colOff>2401941</xdr:colOff>
      <xdr:row>131</xdr:row>
      <xdr:rowOff>1943292</xdr:rowOff>
    </xdr:to>
    <xdr:sp macro="" textlink="">
      <xdr:nvSpPr>
        <xdr:cNvPr id="2196" name="Rectangle 2195">
          <a:extLst>
            <a:ext uri="{FF2B5EF4-FFF2-40B4-BE49-F238E27FC236}">
              <a16:creationId xmlns:a16="http://schemas.microsoft.com/office/drawing/2014/main" id="{00000000-0008-0000-0A00-000094080000}"/>
            </a:ext>
          </a:extLst>
        </xdr:cNvPr>
        <xdr:cNvSpPr/>
      </xdr:nvSpPr>
      <xdr:spPr>
        <a:xfrm>
          <a:off x="12944755" y="1694444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131</xdr:row>
      <xdr:rowOff>630430</xdr:rowOff>
    </xdr:from>
    <xdr:to>
      <xdr:col>5</xdr:col>
      <xdr:colOff>2327329</xdr:colOff>
      <xdr:row>131</xdr:row>
      <xdr:rowOff>689045</xdr:rowOff>
    </xdr:to>
    <xdr:sp macro="" textlink="">
      <xdr:nvSpPr>
        <xdr:cNvPr id="2197" name="Rectangle 2196">
          <a:extLst>
            <a:ext uri="{FF2B5EF4-FFF2-40B4-BE49-F238E27FC236}">
              <a16:creationId xmlns:a16="http://schemas.microsoft.com/office/drawing/2014/main" id="{00000000-0008-0000-0A00-000095080000}"/>
            </a:ext>
          </a:extLst>
        </xdr:cNvPr>
        <xdr:cNvSpPr/>
      </xdr:nvSpPr>
      <xdr:spPr>
        <a:xfrm>
          <a:off x="11117543" y="16828403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2374345</xdr:colOff>
      <xdr:row>131</xdr:row>
      <xdr:rowOff>272875</xdr:rowOff>
    </xdr:from>
    <xdr:to>
      <xdr:col>5</xdr:col>
      <xdr:colOff>2375808</xdr:colOff>
      <xdr:row>131</xdr:row>
      <xdr:rowOff>1758043</xdr:rowOff>
    </xdr:to>
    <xdr:cxnSp macro="">
      <xdr:nvCxnSpPr>
        <xdr:cNvPr id="2198" name="Connecteur droit 2197">
          <a:extLst>
            <a:ext uri="{FF2B5EF4-FFF2-40B4-BE49-F238E27FC236}">
              <a16:creationId xmlns:a16="http://schemas.microsoft.com/office/drawing/2014/main" id="{00000000-0008-0000-0A00-000096080000}"/>
            </a:ext>
          </a:extLst>
        </xdr:cNvPr>
        <xdr:cNvCxnSpPr/>
      </xdr:nvCxnSpPr>
      <xdr:spPr>
        <a:xfrm>
          <a:off x="13069559" y="167926482"/>
          <a:ext cx="1463" cy="148516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518433</xdr:colOff>
      <xdr:row>131</xdr:row>
      <xdr:rowOff>155461</xdr:rowOff>
    </xdr:from>
    <xdr:to>
      <xdr:col>5</xdr:col>
      <xdr:colOff>2232933</xdr:colOff>
      <xdr:row>131</xdr:row>
      <xdr:rowOff>164986</xdr:rowOff>
    </xdr:to>
    <xdr:cxnSp macro="">
      <xdr:nvCxnSpPr>
        <xdr:cNvPr id="2199" name="Connecteur droit 2198">
          <a:extLst>
            <a:ext uri="{FF2B5EF4-FFF2-40B4-BE49-F238E27FC236}">
              <a16:creationId xmlns:a16="http://schemas.microsoft.com/office/drawing/2014/main" id="{00000000-0008-0000-0A00-000097080000}"/>
            </a:ext>
          </a:extLst>
        </xdr:cNvPr>
        <xdr:cNvCxnSpPr/>
      </xdr:nvCxnSpPr>
      <xdr:spPr>
        <a:xfrm flipV="1">
          <a:off x="11213647" y="167809068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131</xdr:row>
      <xdr:rowOff>1903726</xdr:rowOff>
    </xdr:from>
    <xdr:to>
      <xdr:col>5</xdr:col>
      <xdr:colOff>2232688</xdr:colOff>
      <xdr:row>131</xdr:row>
      <xdr:rowOff>1916914</xdr:rowOff>
    </xdr:to>
    <xdr:cxnSp macro="">
      <xdr:nvCxnSpPr>
        <xdr:cNvPr id="2200" name="Connecteur droit 2199">
          <a:extLst>
            <a:ext uri="{FF2B5EF4-FFF2-40B4-BE49-F238E27FC236}">
              <a16:creationId xmlns:a16="http://schemas.microsoft.com/office/drawing/2014/main" id="{00000000-0008-0000-0A00-000098080000}"/>
            </a:ext>
          </a:extLst>
        </xdr:cNvPr>
        <xdr:cNvCxnSpPr/>
      </xdr:nvCxnSpPr>
      <xdr:spPr>
        <a:xfrm>
          <a:off x="11189957" y="169557333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131</xdr:row>
      <xdr:rowOff>141539</xdr:rowOff>
    </xdr:from>
    <xdr:to>
      <xdr:col>5</xdr:col>
      <xdr:colOff>506710</xdr:colOff>
      <xdr:row>131</xdr:row>
      <xdr:rowOff>293939</xdr:rowOff>
    </xdr:to>
    <xdr:sp macro="" textlink="">
      <xdr:nvSpPr>
        <xdr:cNvPr id="2201" name="Rectangle 2200">
          <a:extLst>
            <a:ext uri="{FF2B5EF4-FFF2-40B4-BE49-F238E27FC236}">
              <a16:creationId xmlns:a16="http://schemas.microsoft.com/office/drawing/2014/main" id="{00000000-0008-0000-0A00-000099080000}"/>
            </a:ext>
          </a:extLst>
        </xdr:cNvPr>
        <xdr:cNvSpPr/>
      </xdr:nvSpPr>
      <xdr:spPr>
        <a:xfrm>
          <a:off x="11049524" y="16779514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131</xdr:row>
      <xdr:rowOff>1761585</xdr:rowOff>
    </xdr:from>
    <xdr:to>
      <xdr:col>5</xdr:col>
      <xdr:colOff>516724</xdr:colOff>
      <xdr:row>131</xdr:row>
      <xdr:rowOff>1913985</xdr:rowOff>
    </xdr:to>
    <xdr:sp macro="" textlink="">
      <xdr:nvSpPr>
        <xdr:cNvPr id="2202" name="Rectangle 2201">
          <a:extLst>
            <a:ext uri="{FF2B5EF4-FFF2-40B4-BE49-F238E27FC236}">
              <a16:creationId xmlns:a16="http://schemas.microsoft.com/office/drawing/2014/main" id="{00000000-0008-0000-0A00-00009A080000}"/>
            </a:ext>
          </a:extLst>
        </xdr:cNvPr>
        <xdr:cNvSpPr/>
      </xdr:nvSpPr>
      <xdr:spPr>
        <a:xfrm>
          <a:off x="11059538" y="1694151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131</xdr:row>
      <xdr:rowOff>123955</xdr:rowOff>
    </xdr:from>
    <xdr:to>
      <xdr:col>5</xdr:col>
      <xdr:colOff>2394126</xdr:colOff>
      <xdr:row>131</xdr:row>
      <xdr:rowOff>276355</xdr:rowOff>
    </xdr:to>
    <xdr:sp macro="" textlink="">
      <xdr:nvSpPr>
        <xdr:cNvPr id="2203" name="Rectangle 2202">
          <a:extLst>
            <a:ext uri="{FF2B5EF4-FFF2-40B4-BE49-F238E27FC236}">
              <a16:creationId xmlns:a16="http://schemas.microsoft.com/office/drawing/2014/main" id="{00000000-0008-0000-0A00-00009B080000}"/>
            </a:ext>
          </a:extLst>
        </xdr:cNvPr>
        <xdr:cNvSpPr/>
      </xdr:nvSpPr>
      <xdr:spPr>
        <a:xfrm>
          <a:off x="12936940" y="16777756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131</xdr:row>
      <xdr:rowOff>1790892</xdr:rowOff>
    </xdr:from>
    <xdr:to>
      <xdr:col>5</xdr:col>
      <xdr:colOff>2401941</xdr:colOff>
      <xdr:row>131</xdr:row>
      <xdr:rowOff>1943292</xdr:rowOff>
    </xdr:to>
    <xdr:sp macro="" textlink="">
      <xdr:nvSpPr>
        <xdr:cNvPr id="2204" name="Rectangle 2203">
          <a:extLst>
            <a:ext uri="{FF2B5EF4-FFF2-40B4-BE49-F238E27FC236}">
              <a16:creationId xmlns:a16="http://schemas.microsoft.com/office/drawing/2014/main" id="{00000000-0008-0000-0A00-00009C080000}"/>
            </a:ext>
          </a:extLst>
        </xdr:cNvPr>
        <xdr:cNvSpPr/>
      </xdr:nvSpPr>
      <xdr:spPr>
        <a:xfrm>
          <a:off x="12944755" y="1694444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370795</xdr:colOff>
      <xdr:row>131</xdr:row>
      <xdr:rowOff>327706</xdr:rowOff>
    </xdr:from>
    <xdr:to>
      <xdr:col>5</xdr:col>
      <xdr:colOff>370921</xdr:colOff>
      <xdr:row>131</xdr:row>
      <xdr:rowOff>1764394</xdr:rowOff>
    </xdr:to>
    <xdr:cxnSp macro="">
      <xdr:nvCxnSpPr>
        <xdr:cNvPr id="2205" name="Connecteur droit 2204">
          <a:extLst>
            <a:ext uri="{FF2B5EF4-FFF2-40B4-BE49-F238E27FC236}">
              <a16:creationId xmlns:a16="http://schemas.microsoft.com/office/drawing/2014/main" id="{00000000-0008-0000-0A00-00009D080000}"/>
            </a:ext>
          </a:extLst>
        </xdr:cNvPr>
        <xdr:cNvCxnSpPr/>
      </xdr:nvCxnSpPr>
      <xdr:spPr>
        <a:xfrm flipH="1">
          <a:off x="11066009" y="167981313"/>
          <a:ext cx="126" cy="14366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410483</xdr:colOff>
      <xdr:row>131</xdr:row>
      <xdr:rowOff>1455929</xdr:rowOff>
    </xdr:from>
    <xdr:to>
      <xdr:col>5</xdr:col>
      <xdr:colOff>2315483</xdr:colOff>
      <xdr:row>131</xdr:row>
      <xdr:rowOff>1514544</xdr:rowOff>
    </xdr:to>
    <xdr:sp macro="" textlink="">
      <xdr:nvSpPr>
        <xdr:cNvPr id="2206" name="Rectangle 2205">
          <a:extLst>
            <a:ext uri="{FF2B5EF4-FFF2-40B4-BE49-F238E27FC236}">
              <a16:creationId xmlns:a16="http://schemas.microsoft.com/office/drawing/2014/main" id="{00000000-0008-0000-0A00-00009E080000}"/>
            </a:ext>
          </a:extLst>
        </xdr:cNvPr>
        <xdr:cNvSpPr/>
      </xdr:nvSpPr>
      <xdr:spPr>
        <a:xfrm>
          <a:off x="11105697" y="169109536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131</xdr:row>
      <xdr:rowOff>1057467</xdr:rowOff>
    </xdr:from>
    <xdr:to>
      <xdr:col>5</xdr:col>
      <xdr:colOff>2307546</xdr:colOff>
      <xdr:row>131</xdr:row>
      <xdr:rowOff>1116082</xdr:rowOff>
    </xdr:to>
    <xdr:sp macro="" textlink="">
      <xdr:nvSpPr>
        <xdr:cNvPr id="2207" name="Rectangle 2206">
          <a:extLst>
            <a:ext uri="{FF2B5EF4-FFF2-40B4-BE49-F238E27FC236}">
              <a16:creationId xmlns:a16="http://schemas.microsoft.com/office/drawing/2014/main" id="{00000000-0008-0000-0A00-00009F080000}"/>
            </a:ext>
          </a:extLst>
        </xdr:cNvPr>
        <xdr:cNvSpPr/>
      </xdr:nvSpPr>
      <xdr:spPr>
        <a:xfrm>
          <a:off x="11097760" y="168711074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130</xdr:row>
      <xdr:rowOff>141539</xdr:rowOff>
    </xdr:from>
    <xdr:to>
      <xdr:col>5</xdr:col>
      <xdr:colOff>506710</xdr:colOff>
      <xdr:row>130</xdr:row>
      <xdr:rowOff>293939</xdr:rowOff>
    </xdr:to>
    <xdr:sp macro="" textlink="">
      <xdr:nvSpPr>
        <xdr:cNvPr id="2223" name="Rectangle 2222">
          <a:extLst>
            <a:ext uri="{FF2B5EF4-FFF2-40B4-BE49-F238E27FC236}">
              <a16:creationId xmlns:a16="http://schemas.microsoft.com/office/drawing/2014/main" id="{00000000-0008-0000-0A00-0000AF080000}"/>
            </a:ext>
          </a:extLst>
        </xdr:cNvPr>
        <xdr:cNvSpPr/>
      </xdr:nvSpPr>
      <xdr:spPr>
        <a:xfrm>
          <a:off x="11049524" y="16576768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130</xdr:row>
      <xdr:rowOff>1761585</xdr:rowOff>
    </xdr:from>
    <xdr:to>
      <xdr:col>5</xdr:col>
      <xdr:colOff>516724</xdr:colOff>
      <xdr:row>130</xdr:row>
      <xdr:rowOff>1913985</xdr:rowOff>
    </xdr:to>
    <xdr:sp macro="" textlink="">
      <xdr:nvSpPr>
        <xdr:cNvPr id="2224" name="Rectangle 2223">
          <a:extLst>
            <a:ext uri="{FF2B5EF4-FFF2-40B4-BE49-F238E27FC236}">
              <a16:creationId xmlns:a16="http://schemas.microsoft.com/office/drawing/2014/main" id="{00000000-0008-0000-0A00-0000B0080000}"/>
            </a:ext>
          </a:extLst>
        </xdr:cNvPr>
        <xdr:cNvSpPr/>
      </xdr:nvSpPr>
      <xdr:spPr>
        <a:xfrm>
          <a:off x="11059538" y="16738772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130</xdr:row>
      <xdr:rowOff>123955</xdr:rowOff>
    </xdr:from>
    <xdr:to>
      <xdr:col>5</xdr:col>
      <xdr:colOff>2394126</xdr:colOff>
      <xdr:row>130</xdr:row>
      <xdr:rowOff>276355</xdr:rowOff>
    </xdr:to>
    <xdr:sp macro="" textlink="">
      <xdr:nvSpPr>
        <xdr:cNvPr id="2225" name="Rectangle 2224">
          <a:extLst>
            <a:ext uri="{FF2B5EF4-FFF2-40B4-BE49-F238E27FC236}">
              <a16:creationId xmlns:a16="http://schemas.microsoft.com/office/drawing/2014/main" id="{00000000-0008-0000-0A00-0000B1080000}"/>
            </a:ext>
          </a:extLst>
        </xdr:cNvPr>
        <xdr:cNvSpPr/>
      </xdr:nvSpPr>
      <xdr:spPr>
        <a:xfrm>
          <a:off x="12936940" y="16575009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130</xdr:row>
      <xdr:rowOff>1790892</xdr:rowOff>
    </xdr:from>
    <xdr:to>
      <xdr:col>5</xdr:col>
      <xdr:colOff>2401941</xdr:colOff>
      <xdr:row>130</xdr:row>
      <xdr:rowOff>1943292</xdr:rowOff>
    </xdr:to>
    <xdr:sp macro="" textlink="">
      <xdr:nvSpPr>
        <xdr:cNvPr id="2226" name="Rectangle 2225">
          <a:extLst>
            <a:ext uri="{FF2B5EF4-FFF2-40B4-BE49-F238E27FC236}">
              <a16:creationId xmlns:a16="http://schemas.microsoft.com/office/drawing/2014/main" id="{00000000-0008-0000-0A00-0000B2080000}"/>
            </a:ext>
          </a:extLst>
        </xdr:cNvPr>
        <xdr:cNvSpPr/>
      </xdr:nvSpPr>
      <xdr:spPr>
        <a:xfrm>
          <a:off x="12944755" y="1674170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130</xdr:row>
      <xdr:rowOff>630430</xdr:rowOff>
    </xdr:from>
    <xdr:to>
      <xdr:col>5</xdr:col>
      <xdr:colOff>2327329</xdr:colOff>
      <xdr:row>130</xdr:row>
      <xdr:rowOff>689045</xdr:rowOff>
    </xdr:to>
    <xdr:sp macro="" textlink="">
      <xdr:nvSpPr>
        <xdr:cNvPr id="2227" name="Rectangle 2226">
          <a:extLst>
            <a:ext uri="{FF2B5EF4-FFF2-40B4-BE49-F238E27FC236}">
              <a16:creationId xmlns:a16="http://schemas.microsoft.com/office/drawing/2014/main" id="{00000000-0008-0000-0A00-0000B3080000}"/>
            </a:ext>
          </a:extLst>
        </xdr:cNvPr>
        <xdr:cNvSpPr/>
      </xdr:nvSpPr>
      <xdr:spPr>
        <a:xfrm>
          <a:off x="11117543" y="166256573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130</xdr:row>
      <xdr:rowOff>141539</xdr:rowOff>
    </xdr:from>
    <xdr:to>
      <xdr:col>5</xdr:col>
      <xdr:colOff>506710</xdr:colOff>
      <xdr:row>130</xdr:row>
      <xdr:rowOff>293939</xdr:rowOff>
    </xdr:to>
    <xdr:sp macro="" textlink="">
      <xdr:nvSpPr>
        <xdr:cNvPr id="2228" name="Rectangle 2227">
          <a:extLst>
            <a:ext uri="{FF2B5EF4-FFF2-40B4-BE49-F238E27FC236}">
              <a16:creationId xmlns:a16="http://schemas.microsoft.com/office/drawing/2014/main" id="{00000000-0008-0000-0A00-0000B4080000}"/>
            </a:ext>
          </a:extLst>
        </xdr:cNvPr>
        <xdr:cNvSpPr/>
      </xdr:nvSpPr>
      <xdr:spPr>
        <a:xfrm>
          <a:off x="11049524" y="16576768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130</xdr:row>
      <xdr:rowOff>1761585</xdr:rowOff>
    </xdr:from>
    <xdr:to>
      <xdr:col>5</xdr:col>
      <xdr:colOff>516724</xdr:colOff>
      <xdr:row>130</xdr:row>
      <xdr:rowOff>1913985</xdr:rowOff>
    </xdr:to>
    <xdr:sp macro="" textlink="">
      <xdr:nvSpPr>
        <xdr:cNvPr id="2229" name="Rectangle 2228">
          <a:extLst>
            <a:ext uri="{FF2B5EF4-FFF2-40B4-BE49-F238E27FC236}">
              <a16:creationId xmlns:a16="http://schemas.microsoft.com/office/drawing/2014/main" id="{00000000-0008-0000-0A00-0000B5080000}"/>
            </a:ext>
          </a:extLst>
        </xdr:cNvPr>
        <xdr:cNvSpPr/>
      </xdr:nvSpPr>
      <xdr:spPr>
        <a:xfrm>
          <a:off x="11059538" y="16738772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130</xdr:row>
      <xdr:rowOff>123955</xdr:rowOff>
    </xdr:from>
    <xdr:to>
      <xdr:col>5</xdr:col>
      <xdr:colOff>2394126</xdr:colOff>
      <xdr:row>130</xdr:row>
      <xdr:rowOff>276355</xdr:rowOff>
    </xdr:to>
    <xdr:sp macro="" textlink="">
      <xdr:nvSpPr>
        <xdr:cNvPr id="2230" name="Rectangle 2229">
          <a:extLst>
            <a:ext uri="{FF2B5EF4-FFF2-40B4-BE49-F238E27FC236}">
              <a16:creationId xmlns:a16="http://schemas.microsoft.com/office/drawing/2014/main" id="{00000000-0008-0000-0A00-0000B6080000}"/>
            </a:ext>
          </a:extLst>
        </xdr:cNvPr>
        <xdr:cNvSpPr/>
      </xdr:nvSpPr>
      <xdr:spPr>
        <a:xfrm>
          <a:off x="12936940" y="16575009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130</xdr:row>
      <xdr:rowOff>1790892</xdr:rowOff>
    </xdr:from>
    <xdr:to>
      <xdr:col>5</xdr:col>
      <xdr:colOff>2401941</xdr:colOff>
      <xdr:row>130</xdr:row>
      <xdr:rowOff>1943292</xdr:rowOff>
    </xdr:to>
    <xdr:sp macro="" textlink="">
      <xdr:nvSpPr>
        <xdr:cNvPr id="2231" name="Rectangle 2230">
          <a:extLst>
            <a:ext uri="{FF2B5EF4-FFF2-40B4-BE49-F238E27FC236}">
              <a16:creationId xmlns:a16="http://schemas.microsoft.com/office/drawing/2014/main" id="{00000000-0008-0000-0A00-0000B7080000}"/>
            </a:ext>
          </a:extLst>
        </xdr:cNvPr>
        <xdr:cNvSpPr/>
      </xdr:nvSpPr>
      <xdr:spPr>
        <a:xfrm>
          <a:off x="12944755" y="1674170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830908</xdr:colOff>
      <xdr:row>130</xdr:row>
      <xdr:rowOff>546903</xdr:rowOff>
    </xdr:from>
    <xdr:to>
      <xdr:col>5</xdr:col>
      <xdr:colOff>1065370</xdr:colOff>
      <xdr:row>130</xdr:row>
      <xdr:rowOff>774037</xdr:rowOff>
    </xdr:to>
    <xdr:sp macro="" textlink="">
      <xdr:nvSpPr>
        <xdr:cNvPr id="2232" name="Organigramme : Jonction de sommaire 2231">
          <a:extLst>
            <a:ext uri="{FF2B5EF4-FFF2-40B4-BE49-F238E27FC236}">
              <a16:creationId xmlns:a16="http://schemas.microsoft.com/office/drawing/2014/main" id="{00000000-0008-0000-0A00-0000B8080000}"/>
            </a:ext>
          </a:extLst>
        </xdr:cNvPr>
        <xdr:cNvSpPr/>
      </xdr:nvSpPr>
      <xdr:spPr>
        <a:xfrm>
          <a:off x="11526122" y="16617304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1673243</xdr:colOff>
      <xdr:row>130</xdr:row>
      <xdr:rowOff>554229</xdr:rowOff>
    </xdr:from>
    <xdr:to>
      <xdr:col>5</xdr:col>
      <xdr:colOff>1907705</xdr:colOff>
      <xdr:row>130</xdr:row>
      <xdr:rowOff>781363</xdr:rowOff>
    </xdr:to>
    <xdr:sp macro="" textlink="">
      <xdr:nvSpPr>
        <xdr:cNvPr id="2233" name="Organigramme : Jonction de sommaire 2232">
          <a:extLst>
            <a:ext uri="{FF2B5EF4-FFF2-40B4-BE49-F238E27FC236}">
              <a16:creationId xmlns:a16="http://schemas.microsoft.com/office/drawing/2014/main" id="{00000000-0008-0000-0A00-0000B9080000}"/>
            </a:ext>
          </a:extLst>
        </xdr:cNvPr>
        <xdr:cNvSpPr/>
      </xdr:nvSpPr>
      <xdr:spPr>
        <a:xfrm>
          <a:off x="12368457" y="16618037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130</xdr:row>
      <xdr:rowOff>1455929</xdr:rowOff>
    </xdr:from>
    <xdr:to>
      <xdr:col>5</xdr:col>
      <xdr:colOff>2315483</xdr:colOff>
      <xdr:row>130</xdr:row>
      <xdr:rowOff>1514544</xdr:rowOff>
    </xdr:to>
    <xdr:sp macro="" textlink="">
      <xdr:nvSpPr>
        <xdr:cNvPr id="2234" name="Rectangle 2233">
          <a:extLst>
            <a:ext uri="{FF2B5EF4-FFF2-40B4-BE49-F238E27FC236}">
              <a16:creationId xmlns:a16="http://schemas.microsoft.com/office/drawing/2014/main" id="{00000000-0008-0000-0A00-0000BA080000}"/>
            </a:ext>
          </a:extLst>
        </xdr:cNvPr>
        <xdr:cNvSpPr/>
      </xdr:nvSpPr>
      <xdr:spPr>
        <a:xfrm>
          <a:off x="11105697" y="16708207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819062</xdr:colOff>
      <xdr:row>130</xdr:row>
      <xdr:rowOff>1372402</xdr:rowOff>
    </xdr:from>
    <xdr:to>
      <xdr:col>5</xdr:col>
      <xdr:colOff>1053524</xdr:colOff>
      <xdr:row>130</xdr:row>
      <xdr:rowOff>1599536</xdr:rowOff>
    </xdr:to>
    <xdr:sp macro="" textlink="">
      <xdr:nvSpPr>
        <xdr:cNvPr id="2235" name="Organigramme : Jonction de sommaire 2234">
          <a:extLst>
            <a:ext uri="{FF2B5EF4-FFF2-40B4-BE49-F238E27FC236}">
              <a16:creationId xmlns:a16="http://schemas.microsoft.com/office/drawing/2014/main" id="{00000000-0008-0000-0A00-0000BB080000}"/>
            </a:ext>
          </a:extLst>
        </xdr:cNvPr>
        <xdr:cNvSpPr/>
      </xdr:nvSpPr>
      <xdr:spPr>
        <a:xfrm>
          <a:off x="11514276" y="16699854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1661397</xdr:colOff>
      <xdr:row>130</xdr:row>
      <xdr:rowOff>1379728</xdr:rowOff>
    </xdr:from>
    <xdr:to>
      <xdr:col>5</xdr:col>
      <xdr:colOff>1895859</xdr:colOff>
      <xdr:row>130</xdr:row>
      <xdr:rowOff>1606862</xdr:rowOff>
    </xdr:to>
    <xdr:sp macro="" textlink="">
      <xdr:nvSpPr>
        <xdr:cNvPr id="2236" name="Organigramme : Jonction de sommaire 2235">
          <a:extLst>
            <a:ext uri="{FF2B5EF4-FFF2-40B4-BE49-F238E27FC236}">
              <a16:creationId xmlns:a16="http://schemas.microsoft.com/office/drawing/2014/main" id="{00000000-0008-0000-0A00-0000BC080000}"/>
            </a:ext>
          </a:extLst>
        </xdr:cNvPr>
        <xdr:cNvSpPr/>
      </xdr:nvSpPr>
      <xdr:spPr>
        <a:xfrm>
          <a:off x="12356611" y="16700587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130</xdr:row>
      <xdr:rowOff>1057467</xdr:rowOff>
    </xdr:from>
    <xdr:to>
      <xdr:col>5</xdr:col>
      <xdr:colOff>2307546</xdr:colOff>
      <xdr:row>130</xdr:row>
      <xdr:rowOff>1116082</xdr:rowOff>
    </xdr:to>
    <xdr:sp macro="" textlink="">
      <xdr:nvSpPr>
        <xdr:cNvPr id="2237" name="Rectangle 2236">
          <a:extLst>
            <a:ext uri="{FF2B5EF4-FFF2-40B4-BE49-F238E27FC236}">
              <a16:creationId xmlns:a16="http://schemas.microsoft.com/office/drawing/2014/main" id="{00000000-0008-0000-0A00-0000BD080000}"/>
            </a:ext>
          </a:extLst>
        </xdr:cNvPr>
        <xdr:cNvSpPr/>
      </xdr:nvSpPr>
      <xdr:spPr>
        <a:xfrm>
          <a:off x="11097760" y="16668361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811125</xdr:colOff>
      <xdr:row>130</xdr:row>
      <xdr:rowOff>973940</xdr:rowOff>
    </xdr:from>
    <xdr:to>
      <xdr:col>5</xdr:col>
      <xdr:colOff>1045587</xdr:colOff>
      <xdr:row>130</xdr:row>
      <xdr:rowOff>1201074</xdr:rowOff>
    </xdr:to>
    <xdr:sp macro="" textlink="">
      <xdr:nvSpPr>
        <xdr:cNvPr id="2238" name="Organigramme : Jonction de sommaire 2237">
          <a:extLst>
            <a:ext uri="{FF2B5EF4-FFF2-40B4-BE49-F238E27FC236}">
              <a16:creationId xmlns:a16="http://schemas.microsoft.com/office/drawing/2014/main" id="{00000000-0008-0000-0A00-0000BE080000}"/>
            </a:ext>
          </a:extLst>
        </xdr:cNvPr>
        <xdr:cNvSpPr/>
      </xdr:nvSpPr>
      <xdr:spPr>
        <a:xfrm>
          <a:off x="11506339" y="16660008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1653460</xdr:colOff>
      <xdr:row>130</xdr:row>
      <xdr:rowOff>981266</xdr:rowOff>
    </xdr:from>
    <xdr:to>
      <xdr:col>5</xdr:col>
      <xdr:colOff>1887922</xdr:colOff>
      <xdr:row>130</xdr:row>
      <xdr:rowOff>1208400</xdr:rowOff>
    </xdr:to>
    <xdr:sp macro="" textlink="">
      <xdr:nvSpPr>
        <xdr:cNvPr id="2239" name="Organigramme : Jonction de sommaire 2238">
          <a:extLst>
            <a:ext uri="{FF2B5EF4-FFF2-40B4-BE49-F238E27FC236}">
              <a16:creationId xmlns:a16="http://schemas.microsoft.com/office/drawing/2014/main" id="{00000000-0008-0000-0A00-0000BF080000}"/>
            </a:ext>
          </a:extLst>
        </xdr:cNvPr>
        <xdr:cNvSpPr/>
      </xdr:nvSpPr>
      <xdr:spPr>
        <a:xfrm>
          <a:off x="12348674" y="16660740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518433</xdr:colOff>
      <xdr:row>132</xdr:row>
      <xdr:rowOff>155461</xdr:rowOff>
    </xdr:from>
    <xdr:to>
      <xdr:col>5</xdr:col>
      <xdr:colOff>2232933</xdr:colOff>
      <xdr:row>132</xdr:row>
      <xdr:rowOff>164986</xdr:rowOff>
    </xdr:to>
    <xdr:cxnSp macro="">
      <xdr:nvCxnSpPr>
        <xdr:cNvPr id="2240" name="Connecteur droit 2239">
          <a:extLst>
            <a:ext uri="{FF2B5EF4-FFF2-40B4-BE49-F238E27FC236}">
              <a16:creationId xmlns:a16="http://schemas.microsoft.com/office/drawing/2014/main" id="{00000000-0008-0000-0A00-0000C0080000}"/>
            </a:ext>
          </a:extLst>
        </xdr:cNvPr>
        <xdr:cNvCxnSpPr/>
      </xdr:nvCxnSpPr>
      <xdr:spPr>
        <a:xfrm flipV="1">
          <a:off x="11213647" y="169836532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132</xdr:row>
      <xdr:rowOff>1903726</xdr:rowOff>
    </xdr:from>
    <xdr:to>
      <xdr:col>5</xdr:col>
      <xdr:colOff>2232688</xdr:colOff>
      <xdr:row>132</xdr:row>
      <xdr:rowOff>1916914</xdr:rowOff>
    </xdr:to>
    <xdr:cxnSp macro="">
      <xdr:nvCxnSpPr>
        <xdr:cNvPr id="2241" name="Connecteur droit 2240">
          <a:extLst>
            <a:ext uri="{FF2B5EF4-FFF2-40B4-BE49-F238E27FC236}">
              <a16:creationId xmlns:a16="http://schemas.microsoft.com/office/drawing/2014/main" id="{00000000-0008-0000-0A00-0000C1080000}"/>
            </a:ext>
          </a:extLst>
        </xdr:cNvPr>
        <xdr:cNvCxnSpPr/>
      </xdr:nvCxnSpPr>
      <xdr:spPr>
        <a:xfrm>
          <a:off x="11189957" y="171584797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132</xdr:row>
      <xdr:rowOff>141539</xdr:rowOff>
    </xdr:from>
    <xdr:to>
      <xdr:col>5</xdr:col>
      <xdr:colOff>506710</xdr:colOff>
      <xdr:row>132</xdr:row>
      <xdr:rowOff>293939</xdr:rowOff>
    </xdr:to>
    <xdr:sp macro="" textlink="">
      <xdr:nvSpPr>
        <xdr:cNvPr id="2242" name="Rectangle 2241">
          <a:extLst>
            <a:ext uri="{FF2B5EF4-FFF2-40B4-BE49-F238E27FC236}">
              <a16:creationId xmlns:a16="http://schemas.microsoft.com/office/drawing/2014/main" id="{00000000-0008-0000-0A00-0000C2080000}"/>
            </a:ext>
          </a:extLst>
        </xdr:cNvPr>
        <xdr:cNvSpPr/>
      </xdr:nvSpPr>
      <xdr:spPr>
        <a:xfrm>
          <a:off x="11049524" y="16982261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132</xdr:row>
      <xdr:rowOff>1761585</xdr:rowOff>
    </xdr:from>
    <xdr:to>
      <xdr:col>5</xdr:col>
      <xdr:colOff>516724</xdr:colOff>
      <xdr:row>132</xdr:row>
      <xdr:rowOff>1913985</xdr:rowOff>
    </xdr:to>
    <xdr:sp macro="" textlink="">
      <xdr:nvSpPr>
        <xdr:cNvPr id="2243" name="Rectangle 2242">
          <a:extLst>
            <a:ext uri="{FF2B5EF4-FFF2-40B4-BE49-F238E27FC236}">
              <a16:creationId xmlns:a16="http://schemas.microsoft.com/office/drawing/2014/main" id="{00000000-0008-0000-0A00-0000C3080000}"/>
            </a:ext>
          </a:extLst>
        </xdr:cNvPr>
        <xdr:cNvSpPr/>
      </xdr:nvSpPr>
      <xdr:spPr>
        <a:xfrm>
          <a:off x="11059538" y="17144265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132</xdr:row>
      <xdr:rowOff>123955</xdr:rowOff>
    </xdr:from>
    <xdr:to>
      <xdr:col>5</xdr:col>
      <xdr:colOff>2394126</xdr:colOff>
      <xdr:row>132</xdr:row>
      <xdr:rowOff>276355</xdr:rowOff>
    </xdr:to>
    <xdr:sp macro="" textlink="">
      <xdr:nvSpPr>
        <xdr:cNvPr id="2244" name="Rectangle 2243">
          <a:extLst>
            <a:ext uri="{FF2B5EF4-FFF2-40B4-BE49-F238E27FC236}">
              <a16:creationId xmlns:a16="http://schemas.microsoft.com/office/drawing/2014/main" id="{00000000-0008-0000-0A00-0000C4080000}"/>
            </a:ext>
          </a:extLst>
        </xdr:cNvPr>
        <xdr:cNvSpPr/>
      </xdr:nvSpPr>
      <xdr:spPr>
        <a:xfrm>
          <a:off x="12936940" y="16980502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132</xdr:row>
      <xdr:rowOff>1790892</xdr:rowOff>
    </xdr:from>
    <xdr:to>
      <xdr:col>5</xdr:col>
      <xdr:colOff>2401941</xdr:colOff>
      <xdr:row>132</xdr:row>
      <xdr:rowOff>1943292</xdr:rowOff>
    </xdr:to>
    <xdr:sp macro="" textlink="">
      <xdr:nvSpPr>
        <xdr:cNvPr id="2245" name="Rectangle 2244">
          <a:extLst>
            <a:ext uri="{FF2B5EF4-FFF2-40B4-BE49-F238E27FC236}">
              <a16:creationId xmlns:a16="http://schemas.microsoft.com/office/drawing/2014/main" id="{00000000-0008-0000-0A00-0000C5080000}"/>
            </a:ext>
          </a:extLst>
        </xdr:cNvPr>
        <xdr:cNvSpPr/>
      </xdr:nvSpPr>
      <xdr:spPr>
        <a:xfrm>
          <a:off x="12944755" y="17147196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132</xdr:row>
      <xdr:rowOff>630430</xdr:rowOff>
    </xdr:from>
    <xdr:to>
      <xdr:col>5</xdr:col>
      <xdr:colOff>2327329</xdr:colOff>
      <xdr:row>132</xdr:row>
      <xdr:rowOff>689045</xdr:rowOff>
    </xdr:to>
    <xdr:sp macro="" textlink="">
      <xdr:nvSpPr>
        <xdr:cNvPr id="2246" name="Rectangle 2245">
          <a:extLst>
            <a:ext uri="{FF2B5EF4-FFF2-40B4-BE49-F238E27FC236}">
              <a16:creationId xmlns:a16="http://schemas.microsoft.com/office/drawing/2014/main" id="{00000000-0008-0000-0A00-0000C6080000}"/>
            </a:ext>
          </a:extLst>
        </xdr:cNvPr>
        <xdr:cNvSpPr/>
      </xdr:nvSpPr>
      <xdr:spPr>
        <a:xfrm>
          <a:off x="11117543" y="170311501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2374345</xdr:colOff>
      <xdr:row>132</xdr:row>
      <xdr:rowOff>272875</xdr:rowOff>
    </xdr:from>
    <xdr:to>
      <xdr:col>5</xdr:col>
      <xdr:colOff>2375808</xdr:colOff>
      <xdr:row>132</xdr:row>
      <xdr:rowOff>1758043</xdr:rowOff>
    </xdr:to>
    <xdr:cxnSp macro="">
      <xdr:nvCxnSpPr>
        <xdr:cNvPr id="2247" name="Connecteur droit 2246">
          <a:extLst>
            <a:ext uri="{FF2B5EF4-FFF2-40B4-BE49-F238E27FC236}">
              <a16:creationId xmlns:a16="http://schemas.microsoft.com/office/drawing/2014/main" id="{00000000-0008-0000-0A00-0000C7080000}"/>
            </a:ext>
          </a:extLst>
        </xdr:cNvPr>
        <xdr:cNvCxnSpPr/>
      </xdr:nvCxnSpPr>
      <xdr:spPr>
        <a:xfrm>
          <a:off x="13069559" y="169953946"/>
          <a:ext cx="1463" cy="148516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518433</xdr:colOff>
      <xdr:row>132</xdr:row>
      <xdr:rowOff>155461</xdr:rowOff>
    </xdr:from>
    <xdr:to>
      <xdr:col>5</xdr:col>
      <xdr:colOff>2232933</xdr:colOff>
      <xdr:row>132</xdr:row>
      <xdr:rowOff>164986</xdr:rowOff>
    </xdr:to>
    <xdr:cxnSp macro="">
      <xdr:nvCxnSpPr>
        <xdr:cNvPr id="2248" name="Connecteur droit 2247">
          <a:extLst>
            <a:ext uri="{FF2B5EF4-FFF2-40B4-BE49-F238E27FC236}">
              <a16:creationId xmlns:a16="http://schemas.microsoft.com/office/drawing/2014/main" id="{00000000-0008-0000-0A00-0000C8080000}"/>
            </a:ext>
          </a:extLst>
        </xdr:cNvPr>
        <xdr:cNvCxnSpPr/>
      </xdr:nvCxnSpPr>
      <xdr:spPr>
        <a:xfrm flipV="1">
          <a:off x="11213647" y="169836532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132</xdr:row>
      <xdr:rowOff>1903726</xdr:rowOff>
    </xdr:from>
    <xdr:to>
      <xdr:col>5</xdr:col>
      <xdr:colOff>2232688</xdr:colOff>
      <xdr:row>132</xdr:row>
      <xdr:rowOff>1916914</xdr:rowOff>
    </xdr:to>
    <xdr:cxnSp macro="">
      <xdr:nvCxnSpPr>
        <xdr:cNvPr id="2249" name="Connecteur droit 2248">
          <a:extLst>
            <a:ext uri="{FF2B5EF4-FFF2-40B4-BE49-F238E27FC236}">
              <a16:creationId xmlns:a16="http://schemas.microsoft.com/office/drawing/2014/main" id="{00000000-0008-0000-0A00-0000C9080000}"/>
            </a:ext>
          </a:extLst>
        </xdr:cNvPr>
        <xdr:cNvCxnSpPr/>
      </xdr:nvCxnSpPr>
      <xdr:spPr>
        <a:xfrm>
          <a:off x="11189957" y="171584797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132</xdr:row>
      <xdr:rowOff>141539</xdr:rowOff>
    </xdr:from>
    <xdr:to>
      <xdr:col>5</xdr:col>
      <xdr:colOff>506710</xdr:colOff>
      <xdr:row>132</xdr:row>
      <xdr:rowOff>293939</xdr:rowOff>
    </xdr:to>
    <xdr:sp macro="" textlink="">
      <xdr:nvSpPr>
        <xdr:cNvPr id="2250" name="Rectangle 2249">
          <a:extLst>
            <a:ext uri="{FF2B5EF4-FFF2-40B4-BE49-F238E27FC236}">
              <a16:creationId xmlns:a16="http://schemas.microsoft.com/office/drawing/2014/main" id="{00000000-0008-0000-0A00-0000CA080000}"/>
            </a:ext>
          </a:extLst>
        </xdr:cNvPr>
        <xdr:cNvSpPr/>
      </xdr:nvSpPr>
      <xdr:spPr>
        <a:xfrm>
          <a:off x="11049524" y="16982261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132</xdr:row>
      <xdr:rowOff>1761585</xdr:rowOff>
    </xdr:from>
    <xdr:to>
      <xdr:col>5</xdr:col>
      <xdr:colOff>516724</xdr:colOff>
      <xdr:row>132</xdr:row>
      <xdr:rowOff>1913985</xdr:rowOff>
    </xdr:to>
    <xdr:sp macro="" textlink="">
      <xdr:nvSpPr>
        <xdr:cNvPr id="2251" name="Rectangle 2250">
          <a:extLst>
            <a:ext uri="{FF2B5EF4-FFF2-40B4-BE49-F238E27FC236}">
              <a16:creationId xmlns:a16="http://schemas.microsoft.com/office/drawing/2014/main" id="{00000000-0008-0000-0A00-0000CB080000}"/>
            </a:ext>
          </a:extLst>
        </xdr:cNvPr>
        <xdr:cNvSpPr/>
      </xdr:nvSpPr>
      <xdr:spPr>
        <a:xfrm>
          <a:off x="11059538" y="17144265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132</xdr:row>
      <xdr:rowOff>123955</xdr:rowOff>
    </xdr:from>
    <xdr:to>
      <xdr:col>5</xdr:col>
      <xdr:colOff>2394126</xdr:colOff>
      <xdr:row>132</xdr:row>
      <xdr:rowOff>276355</xdr:rowOff>
    </xdr:to>
    <xdr:sp macro="" textlink="">
      <xdr:nvSpPr>
        <xdr:cNvPr id="2252" name="Rectangle 2251">
          <a:extLst>
            <a:ext uri="{FF2B5EF4-FFF2-40B4-BE49-F238E27FC236}">
              <a16:creationId xmlns:a16="http://schemas.microsoft.com/office/drawing/2014/main" id="{00000000-0008-0000-0A00-0000CC080000}"/>
            </a:ext>
          </a:extLst>
        </xdr:cNvPr>
        <xdr:cNvSpPr/>
      </xdr:nvSpPr>
      <xdr:spPr>
        <a:xfrm>
          <a:off x="12936940" y="16980502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132</xdr:row>
      <xdr:rowOff>1790892</xdr:rowOff>
    </xdr:from>
    <xdr:to>
      <xdr:col>5</xdr:col>
      <xdr:colOff>2401941</xdr:colOff>
      <xdr:row>132</xdr:row>
      <xdr:rowOff>1943292</xdr:rowOff>
    </xdr:to>
    <xdr:sp macro="" textlink="">
      <xdr:nvSpPr>
        <xdr:cNvPr id="2253" name="Rectangle 2252">
          <a:extLst>
            <a:ext uri="{FF2B5EF4-FFF2-40B4-BE49-F238E27FC236}">
              <a16:creationId xmlns:a16="http://schemas.microsoft.com/office/drawing/2014/main" id="{00000000-0008-0000-0A00-0000CD080000}"/>
            </a:ext>
          </a:extLst>
        </xdr:cNvPr>
        <xdr:cNvSpPr/>
      </xdr:nvSpPr>
      <xdr:spPr>
        <a:xfrm>
          <a:off x="12944755" y="17147196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370795</xdr:colOff>
      <xdr:row>132</xdr:row>
      <xdr:rowOff>327706</xdr:rowOff>
    </xdr:from>
    <xdr:to>
      <xdr:col>5</xdr:col>
      <xdr:colOff>370921</xdr:colOff>
      <xdr:row>132</xdr:row>
      <xdr:rowOff>1764394</xdr:rowOff>
    </xdr:to>
    <xdr:cxnSp macro="">
      <xdr:nvCxnSpPr>
        <xdr:cNvPr id="2254" name="Connecteur droit 2253">
          <a:extLst>
            <a:ext uri="{FF2B5EF4-FFF2-40B4-BE49-F238E27FC236}">
              <a16:creationId xmlns:a16="http://schemas.microsoft.com/office/drawing/2014/main" id="{00000000-0008-0000-0A00-0000CE080000}"/>
            </a:ext>
          </a:extLst>
        </xdr:cNvPr>
        <xdr:cNvCxnSpPr/>
      </xdr:nvCxnSpPr>
      <xdr:spPr>
        <a:xfrm flipH="1">
          <a:off x="11066009" y="170008777"/>
          <a:ext cx="126" cy="14366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410483</xdr:colOff>
      <xdr:row>132</xdr:row>
      <xdr:rowOff>1455929</xdr:rowOff>
    </xdr:from>
    <xdr:to>
      <xdr:col>5</xdr:col>
      <xdr:colOff>2315483</xdr:colOff>
      <xdr:row>132</xdr:row>
      <xdr:rowOff>1514544</xdr:rowOff>
    </xdr:to>
    <xdr:sp macro="" textlink="">
      <xdr:nvSpPr>
        <xdr:cNvPr id="2255" name="Rectangle 2254">
          <a:extLst>
            <a:ext uri="{FF2B5EF4-FFF2-40B4-BE49-F238E27FC236}">
              <a16:creationId xmlns:a16="http://schemas.microsoft.com/office/drawing/2014/main" id="{00000000-0008-0000-0A00-0000CF080000}"/>
            </a:ext>
          </a:extLst>
        </xdr:cNvPr>
        <xdr:cNvSpPr/>
      </xdr:nvSpPr>
      <xdr:spPr>
        <a:xfrm>
          <a:off x="11105697" y="17113700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132</xdr:row>
      <xdr:rowOff>1057467</xdr:rowOff>
    </xdr:from>
    <xdr:to>
      <xdr:col>5</xdr:col>
      <xdr:colOff>2307546</xdr:colOff>
      <xdr:row>132</xdr:row>
      <xdr:rowOff>1116082</xdr:rowOff>
    </xdr:to>
    <xdr:sp macro="" textlink="">
      <xdr:nvSpPr>
        <xdr:cNvPr id="2256" name="Rectangle 2255">
          <a:extLst>
            <a:ext uri="{FF2B5EF4-FFF2-40B4-BE49-F238E27FC236}">
              <a16:creationId xmlns:a16="http://schemas.microsoft.com/office/drawing/2014/main" id="{00000000-0008-0000-0A00-0000D0080000}"/>
            </a:ext>
          </a:extLst>
        </xdr:cNvPr>
        <xdr:cNvSpPr/>
      </xdr:nvSpPr>
      <xdr:spPr>
        <a:xfrm>
          <a:off x="11097760" y="170738538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828814</xdr:colOff>
      <xdr:row>132</xdr:row>
      <xdr:rowOff>541233</xdr:rowOff>
    </xdr:from>
    <xdr:to>
      <xdr:col>5</xdr:col>
      <xdr:colOff>1063276</xdr:colOff>
      <xdr:row>132</xdr:row>
      <xdr:rowOff>768367</xdr:rowOff>
    </xdr:to>
    <xdr:sp macro="" textlink="">
      <xdr:nvSpPr>
        <xdr:cNvPr id="2257" name="Organigramme : Jonction de sommaire 2256">
          <a:extLst>
            <a:ext uri="{FF2B5EF4-FFF2-40B4-BE49-F238E27FC236}">
              <a16:creationId xmlns:a16="http://schemas.microsoft.com/office/drawing/2014/main" id="{00000000-0008-0000-0A00-0000D1080000}"/>
            </a:ext>
          </a:extLst>
        </xdr:cNvPr>
        <xdr:cNvSpPr/>
      </xdr:nvSpPr>
      <xdr:spPr>
        <a:xfrm>
          <a:off x="11506339" y="18663115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1599031</xdr:colOff>
      <xdr:row>132</xdr:row>
      <xdr:rowOff>558084</xdr:rowOff>
    </xdr:from>
    <xdr:to>
      <xdr:col>5</xdr:col>
      <xdr:colOff>1833493</xdr:colOff>
      <xdr:row>132</xdr:row>
      <xdr:rowOff>785218</xdr:rowOff>
    </xdr:to>
    <xdr:sp macro="" textlink="">
      <xdr:nvSpPr>
        <xdr:cNvPr id="2258" name="Organigramme : Jonction de sommaire 2257">
          <a:extLst>
            <a:ext uri="{FF2B5EF4-FFF2-40B4-BE49-F238E27FC236}">
              <a16:creationId xmlns:a16="http://schemas.microsoft.com/office/drawing/2014/main" id="{00000000-0008-0000-0A00-0000D2080000}"/>
            </a:ext>
          </a:extLst>
        </xdr:cNvPr>
        <xdr:cNvSpPr/>
      </xdr:nvSpPr>
      <xdr:spPr>
        <a:xfrm>
          <a:off x="12276556" y="18664800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518433</xdr:colOff>
      <xdr:row>133</xdr:row>
      <xdr:rowOff>155461</xdr:rowOff>
    </xdr:from>
    <xdr:to>
      <xdr:col>5</xdr:col>
      <xdr:colOff>2232933</xdr:colOff>
      <xdr:row>133</xdr:row>
      <xdr:rowOff>164986</xdr:rowOff>
    </xdr:to>
    <xdr:cxnSp macro="">
      <xdr:nvCxnSpPr>
        <xdr:cNvPr id="2280" name="Connecteur droit 2279">
          <a:extLst>
            <a:ext uri="{FF2B5EF4-FFF2-40B4-BE49-F238E27FC236}">
              <a16:creationId xmlns:a16="http://schemas.microsoft.com/office/drawing/2014/main" id="{00000000-0008-0000-0A00-0000E8080000}"/>
            </a:ext>
          </a:extLst>
        </xdr:cNvPr>
        <xdr:cNvCxnSpPr/>
      </xdr:nvCxnSpPr>
      <xdr:spPr>
        <a:xfrm flipV="1">
          <a:off x="11213647" y="173891461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133</xdr:row>
      <xdr:rowOff>1903726</xdr:rowOff>
    </xdr:from>
    <xdr:to>
      <xdr:col>5</xdr:col>
      <xdr:colOff>2232688</xdr:colOff>
      <xdr:row>133</xdr:row>
      <xdr:rowOff>1916914</xdr:rowOff>
    </xdr:to>
    <xdr:cxnSp macro="">
      <xdr:nvCxnSpPr>
        <xdr:cNvPr id="2281" name="Connecteur droit 2280">
          <a:extLst>
            <a:ext uri="{FF2B5EF4-FFF2-40B4-BE49-F238E27FC236}">
              <a16:creationId xmlns:a16="http://schemas.microsoft.com/office/drawing/2014/main" id="{00000000-0008-0000-0A00-0000E9080000}"/>
            </a:ext>
          </a:extLst>
        </xdr:cNvPr>
        <xdr:cNvCxnSpPr/>
      </xdr:nvCxnSpPr>
      <xdr:spPr>
        <a:xfrm>
          <a:off x="11189957" y="175639726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133</xdr:row>
      <xdr:rowOff>141539</xdr:rowOff>
    </xdr:from>
    <xdr:to>
      <xdr:col>5</xdr:col>
      <xdr:colOff>506710</xdr:colOff>
      <xdr:row>133</xdr:row>
      <xdr:rowOff>293939</xdr:rowOff>
    </xdr:to>
    <xdr:sp macro="" textlink="">
      <xdr:nvSpPr>
        <xdr:cNvPr id="2282" name="Rectangle 2281">
          <a:extLst>
            <a:ext uri="{FF2B5EF4-FFF2-40B4-BE49-F238E27FC236}">
              <a16:creationId xmlns:a16="http://schemas.microsoft.com/office/drawing/2014/main" id="{00000000-0008-0000-0A00-0000EA080000}"/>
            </a:ext>
          </a:extLst>
        </xdr:cNvPr>
        <xdr:cNvSpPr/>
      </xdr:nvSpPr>
      <xdr:spPr>
        <a:xfrm>
          <a:off x="11049524" y="17387753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133</xdr:row>
      <xdr:rowOff>1761585</xdr:rowOff>
    </xdr:from>
    <xdr:to>
      <xdr:col>5</xdr:col>
      <xdr:colOff>516724</xdr:colOff>
      <xdr:row>133</xdr:row>
      <xdr:rowOff>1913985</xdr:rowOff>
    </xdr:to>
    <xdr:sp macro="" textlink="">
      <xdr:nvSpPr>
        <xdr:cNvPr id="2283" name="Rectangle 2282">
          <a:extLst>
            <a:ext uri="{FF2B5EF4-FFF2-40B4-BE49-F238E27FC236}">
              <a16:creationId xmlns:a16="http://schemas.microsoft.com/office/drawing/2014/main" id="{00000000-0008-0000-0A00-0000EB080000}"/>
            </a:ext>
          </a:extLst>
        </xdr:cNvPr>
        <xdr:cNvSpPr/>
      </xdr:nvSpPr>
      <xdr:spPr>
        <a:xfrm>
          <a:off x="11059538" y="17549758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133</xdr:row>
      <xdr:rowOff>123955</xdr:rowOff>
    </xdr:from>
    <xdr:to>
      <xdr:col>5</xdr:col>
      <xdr:colOff>2394126</xdr:colOff>
      <xdr:row>133</xdr:row>
      <xdr:rowOff>276355</xdr:rowOff>
    </xdr:to>
    <xdr:sp macro="" textlink="">
      <xdr:nvSpPr>
        <xdr:cNvPr id="2284" name="Rectangle 2283">
          <a:extLst>
            <a:ext uri="{FF2B5EF4-FFF2-40B4-BE49-F238E27FC236}">
              <a16:creationId xmlns:a16="http://schemas.microsoft.com/office/drawing/2014/main" id="{00000000-0008-0000-0A00-0000EC080000}"/>
            </a:ext>
          </a:extLst>
        </xdr:cNvPr>
        <xdr:cNvSpPr/>
      </xdr:nvSpPr>
      <xdr:spPr>
        <a:xfrm>
          <a:off x="12936940" y="17385995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133</xdr:row>
      <xdr:rowOff>1790892</xdr:rowOff>
    </xdr:from>
    <xdr:to>
      <xdr:col>5</xdr:col>
      <xdr:colOff>2401941</xdr:colOff>
      <xdr:row>133</xdr:row>
      <xdr:rowOff>1943292</xdr:rowOff>
    </xdr:to>
    <xdr:sp macro="" textlink="">
      <xdr:nvSpPr>
        <xdr:cNvPr id="2285" name="Rectangle 2284">
          <a:extLst>
            <a:ext uri="{FF2B5EF4-FFF2-40B4-BE49-F238E27FC236}">
              <a16:creationId xmlns:a16="http://schemas.microsoft.com/office/drawing/2014/main" id="{00000000-0008-0000-0A00-0000ED080000}"/>
            </a:ext>
          </a:extLst>
        </xdr:cNvPr>
        <xdr:cNvSpPr/>
      </xdr:nvSpPr>
      <xdr:spPr>
        <a:xfrm>
          <a:off x="12944755" y="1755268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133</xdr:row>
      <xdr:rowOff>630430</xdr:rowOff>
    </xdr:from>
    <xdr:to>
      <xdr:col>5</xdr:col>
      <xdr:colOff>2327329</xdr:colOff>
      <xdr:row>133</xdr:row>
      <xdr:rowOff>689045</xdr:rowOff>
    </xdr:to>
    <xdr:sp macro="" textlink="">
      <xdr:nvSpPr>
        <xdr:cNvPr id="2286" name="Rectangle 2285">
          <a:extLst>
            <a:ext uri="{FF2B5EF4-FFF2-40B4-BE49-F238E27FC236}">
              <a16:creationId xmlns:a16="http://schemas.microsoft.com/office/drawing/2014/main" id="{00000000-0008-0000-0A00-0000EE080000}"/>
            </a:ext>
          </a:extLst>
        </xdr:cNvPr>
        <xdr:cNvSpPr/>
      </xdr:nvSpPr>
      <xdr:spPr>
        <a:xfrm>
          <a:off x="11117543" y="17436643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2374345</xdr:colOff>
      <xdr:row>133</xdr:row>
      <xdr:rowOff>272875</xdr:rowOff>
    </xdr:from>
    <xdr:to>
      <xdr:col>5</xdr:col>
      <xdr:colOff>2375808</xdr:colOff>
      <xdr:row>133</xdr:row>
      <xdr:rowOff>1758043</xdr:rowOff>
    </xdr:to>
    <xdr:cxnSp macro="">
      <xdr:nvCxnSpPr>
        <xdr:cNvPr id="2287" name="Connecteur droit 2286">
          <a:extLst>
            <a:ext uri="{FF2B5EF4-FFF2-40B4-BE49-F238E27FC236}">
              <a16:creationId xmlns:a16="http://schemas.microsoft.com/office/drawing/2014/main" id="{00000000-0008-0000-0A00-0000EF080000}"/>
            </a:ext>
          </a:extLst>
        </xdr:cNvPr>
        <xdr:cNvCxnSpPr/>
      </xdr:nvCxnSpPr>
      <xdr:spPr>
        <a:xfrm>
          <a:off x="13069559" y="174008875"/>
          <a:ext cx="1463" cy="148516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518433</xdr:colOff>
      <xdr:row>133</xdr:row>
      <xdr:rowOff>155461</xdr:rowOff>
    </xdr:from>
    <xdr:to>
      <xdr:col>5</xdr:col>
      <xdr:colOff>2232933</xdr:colOff>
      <xdr:row>133</xdr:row>
      <xdr:rowOff>164986</xdr:rowOff>
    </xdr:to>
    <xdr:cxnSp macro="">
      <xdr:nvCxnSpPr>
        <xdr:cNvPr id="2288" name="Connecteur droit 2287">
          <a:extLst>
            <a:ext uri="{FF2B5EF4-FFF2-40B4-BE49-F238E27FC236}">
              <a16:creationId xmlns:a16="http://schemas.microsoft.com/office/drawing/2014/main" id="{00000000-0008-0000-0A00-0000F0080000}"/>
            </a:ext>
          </a:extLst>
        </xdr:cNvPr>
        <xdr:cNvCxnSpPr/>
      </xdr:nvCxnSpPr>
      <xdr:spPr>
        <a:xfrm flipV="1">
          <a:off x="11213647" y="173891461"/>
          <a:ext cx="1714500" cy="952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494743</xdr:colOff>
      <xdr:row>133</xdr:row>
      <xdr:rowOff>1903726</xdr:rowOff>
    </xdr:from>
    <xdr:to>
      <xdr:col>5</xdr:col>
      <xdr:colOff>2232688</xdr:colOff>
      <xdr:row>133</xdr:row>
      <xdr:rowOff>1916914</xdr:rowOff>
    </xdr:to>
    <xdr:cxnSp macro="">
      <xdr:nvCxnSpPr>
        <xdr:cNvPr id="2289" name="Connecteur droit 2288">
          <a:extLst>
            <a:ext uri="{FF2B5EF4-FFF2-40B4-BE49-F238E27FC236}">
              <a16:creationId xmlns:a16="http://schemas.microsoft.com/office/drawing/2014/main" id="{00000000-0008-0000-0A00-0000F1080000}"/>
            </a:ext>
          </a:extLst>
        </xdr:cNvPr>
        <xdr:cNvCxnSpPr/>
      </xdr:nvCxnSpPr>
      <xdr:spPr>
        <a:xfrm>
          <a:off x="11189957" y="175639726"/>
          <a:ext cx="1737945" cy="131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354310</xdr:colOff>
      <xdr:row>133</xdr:row>
      <xdr:rowOff>141539</xdr:rowOff>
    </xdr:from>
    <xdr:to>
      <xdr:col>5</xdr:col>
      <xdr:colOff>506710</xdr:colOff>
      <xdr:row>133</xdr:row>
      <xdr:rowOff>293939</xdr:rowOff>
    </xdr:to>
    <xdr:sp macro="" textlink="">
      <xdr:nvSpPr>
        <xdr:cNvPr id="2290" name="Rectangle 2289">
          <a:extLst>
            <a:ext uri="{FF2B5EF4-FFF2-40B4-BE49-F238E27FC236}">
              <a16:creationId xmlns:a16="http://schemas.microsoft.com/office/drawing/2014/main" id="{00000000-0008-0000-0A00-0000F2080000}"/>
            </a:ext>
          </a:extLst>
        </xdr:cNvPr>
        <xdr:cNvSpPr/>
      </xdr:nvSpPr>
      <xdr:spPr>
        <a:xfrm>
          <a:off x="11049524" y="17387753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133</xdr:row>
      <xdr:rowOff>1761585</xdr:rowOff>
    </xdr:from>
    <xdr:to>
      <xdr:col>5</xdr:col>
      <xdr:colOff>516724</xdr:colOff>
      <xdr:row>133</xdr:row>
      <xdr:rowOff>1913985</xdr:rowOff>
    </xdr:to>
    <xdr:sp macro="" textlink="">
      <xdr:nvSpPr>
        <xdr:cNvPr id="2291" name="Rectangle 2290">
          <a:extLst>
            <a:ext uri="{FF2B5EF4-FFF2-40B4-BE49-F238E27FC236}">
              <a16:creationId xmlns:a16="http://schemas.microsoft.com/office/drawing/2014/main" id="{00000000-0008-0000-0A00-0000F3080000}"/>
            </a:ext>
          </a:extLst>
        </xdr:cNvPr>
        <xdr:cNvSpPr/>
      </xdr:nvSpPr>
      <xdr:spPr>
        <a:xfrm>
          <a:off x="11059538" y="17549758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133</xdr:row>
      <xdr:rowOff>123955</xdr:rowOff>
    </xdr:from>
    <xdr:to>
      <xdr:col>5</xdr:col>
      <xdr:colOff>2394126</xdr:colOff>
      <xdr:row>133</xdr:row>
      <xdr:rowOff>276355</xdr:rowOff>
    </xdr:to>
    <xdr:sp macro="" textlink="">
      <xdr:nvSpPr>
        <xdr:cNvPr id="2292" name="Rectangle 2291">
          <a:extLst>
            <a:ext uri="{FF2B5EF4-FFF2-40B4-BE49-F238E27FC236}">
              <a16:creationId xmlns:a16="http://schemas.microsoft.com/office/drawing/2014/main" id="{00000000-0008-0000-0A00-0000F4080000}"/>
            </a:ext>
          </a:extLst>
        </xdr:cNvPr>
        <xdr:cNvSpPr/>
      </xdr:nvSpPr>
      <xdr:spPr>
        <a:xfrm>
          <a:off x="12936940" y="17385995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133</xdr:row>
      <xdr:rowOff>1790892</xdr:rowOff>
    </xdr:from>
    <xdr:to>
      <xdr:col>5</xdr:col>
      <xdr:colOff>2401941</xdr:colOff>
      <xdr:row>133</xdr:row>
      <xdr:rowOff>1943292</xdr:rowOff>
    </xdr:to>
    <xdr:sp macro="" textlink="">
      <xdr:nvSpPr>
        <xdr:cNvPr id="2293" name="Rectangle 2292">
          <a:extLst>
            <a:ext uri="{FF2B5EF4-FFF2-40B4-BE49-F238E27FC236}">
              <a16:creationId xmlns:a16="http://schemas.microsoft.com/office/drawing/2014/main" id="{00000000-0008-0000-0A00-0000F5080000}"/>
            </a:ext>
          </a:extLst>
        </xdr:cNvPr>
        <xdr:cNvSpPr/>
      </xdr:nvSpPr>
      <xdr:spPr>
        <a:xfrm>
          <a:off x="12944755" y="1755268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858122</xdr:colOff>
      <xdr:row>133</xdr:row>
      <xdr:rowOff>533296</xdr:rowOff>
    </xdr:from>
    <xdr:to>
      <xdr:col>5</xdr:col>
      <xdr:colOff>1092584</xdr:colOff>
      <xdr:row>133</xdr:row>
      <xdr:rowOff>760430</xdr:rowOff>
    </xdr:to>
    <xdr:sp macro="" textlink="">
      <xdr:nvSpPr>
        <xdr:cNvPr id="2294" name="Organigramme : Jonction de sommaire 2293">
          <a:extLst>
            <a:ext uri="{FF2B5EF4-FFF2-40B4-BE49-F238E27FC236}">
              <a16:creationId xmlns:a16="http://schemas.microsoft.com/office/drawing/2014/main" id="{00000000-0008-0000-0A00-0000F6080000}"/>
            </a:ext>
          </a:extLst>
        </xdr:cNvPr>
        <xdr:cNvSpPr/>
      </xdr:nvSpPr>
      <xdr:spPr>
        <a:xfrm>
          <a:off x="11553336" y="17426929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1618814</xdr:colOff>
      <xdr:row>133</xdr:row>
      <xdr:rowOff>540622</xdr:rowOff>
    </xdr:from>
    <xdr:to>
      <xdr:col>5</xdr:col>
      <xdr:colOff>1853276</xdr:colOff>
      <xdr:row>133</xdr:row>
      <xdr:rowOff>767756</xdr:rowOff>
    </xdr:to>
    <xdr:sp macro="" textlink="">
      <xdr:nvSpPr>
        <xdr:cNvPr id="2295" name="Organigramme : Jonction de sommaire 2294">
          <a:extLst>
            <a:ext uri="{FF2B5EF4-FFF2-40B4-BE49-F238E27FC236}">
              <a16:creationId xmlns:a16="http://schemas.microsoft.com/office/drawing/2014/main" id="{00000000-0008-0000-0A00-0000F7080000}"/>
            </a:ext>
          </a:extLst>
        </xdr:cNvPr>
        <xdr:cNvSpPr/>
      </xdr:nvSpPr>
      <xdr:spPr>
        <a:xfrm>
          <a:off x="12314028" y="17427662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370795</xdr:colOff>
      <xdr:row>133</xdr:row>
      <xdr:rowOff>327706</xdr:rowOff>
    </xdr:from>
    <xdr:to>
      <xdr:col>5</xdr:col>
      <xdr:colOff>370921</xdr:colOff>
      <xdr:row>133</xdr:row>
      <xdr:rowOff>1764394</xdr:rowOff>
    </xdr:to>
    <xdr:cxnSp macro="">
      <xdr:nvCxnSpPr>
        <xdr:cNvPr id="2296" name="Connecteur droit 2295">
          <a:extLst>
            <a:ext uri="{FF2B5EF4-FFF2-40B4-BE49-F238E27FC236}">
              <a16:creationId xmlns:a16="http://schemas.microsoft.com/office/drawing/2014/main" id="{00000000-0008-0000-0A00-0000F8080000}"/>
            </a:ext>
          </a:extLst>
        </xdr:cNvPr>
        <xdr:cNvCxnSpPr/>
      </xdr:nvCxnSpPr>
      <xdr:spPr>
        <a:xfrm flipH="1">
          <a:off x="11066009" y="174063706"/>
          <a:ext cx="126" cy="143668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410483</xdr:colOff>
      <xdr:row>133</xdr:row>
      <xdr:rowOff>1455929</xdr:rowOff>
    </xdr:from>
    <xdr:to>
      <xdr:col>5</xdr:col>
      <xdr:colOff>2315483</xdr:colOff>
      <xdr:row>133</xdr:row>
      <xdr:rowOff>1514544</xdr:rowOff>
    </xdr:to>
    <xdr:sp macro="" textlink="">
      <xdr:nvSpPr>
        <xdr:cNvPr id="2297" name="Rectangle 2296">
          <a:extLst>
            <a:ext uri="{FF2B5EF4-FFF2-40B4-BE49-F238E27FC236}">
              <a16:creationId xmlns:a16="http://schemas.microsoft.com/office/drawing/2014/main" id="{00000000-0008-0000-0A00-0000F9080000}"/>
            </a:ext>
          </a:extLst>
        </xdr:cNvPr>
        <xdr:cNvSpPr/>
      </xdr:nvSpPr>
      <xdr:spPr>
        <a:xfrm>
          <a:off x="11105697" y="17519192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846276</xdr:colOff>
      <xdr:row>133</xdr:row>
      <xdr:rowOff>1358795</xdr:rowOff>
    </xdr:from>
    <xdr:to>
      <xdr:col>5</xdr:col>
      <xdr:colOff>1080738</xdr:colOff>
      <xdr:row>133</xdr:row>
      <xdr:rowOff>1585929</xdr:rowOff>
    </xdr:to>
    <xdr:sp macro="" textlink="">
      <xdr:nvSpPr>
        <xdr:cNvPr id="2298" name="Organigramme : Jonction de sommaire 2297">
          <a:extLst>
            <a:ext uri="{FF2B5EF4-FFF2-40B4-BE49-F238E27FC236}">
              <a16:creationId xmlns:a16="http://schemas.microsoft.com/office/drawing/2014/main" id="{00000000-0008-0000-0A00-0000FA080000}"/>
            </a:ext>
          </a:extLst>
        </xdr:cNvPr>
        <xdr:cNvSpPr/>
      </xdr:nvSpPr>
      <xdr:spPr>
        <a:xfrm>
          <a:off x="11541490" y="17509479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1606968</xdr:colOff>
      <xdr:row>133</xdr:row>
      <xdr:rowOff>1366121</xdr:rowOff>
    </xdr:from>
    <xdr:to>
      <xdr:col>5</xdr:col>
      <xdr:colOff>1841430</xdr:colOff>
      <xdr:row>133</xdr:row>
      <xdr:rowOff>1593255</xdr:rowOff>
    </xdr:to>
    <xdr:sp macro="" textlink="">
      <xdr:nvSpPr>
        <xdr:cNvPr id="2299" name="Organigramme : Jonction de sommaire 2298">
          <a:extLst>
            <a:ext uri="{FF2B5EF4-FFF2-40B4-BE49-F238E27FC236}">
              <a16:creationId xmlns:a16="http://schemas.microsoft.com/office/drawing/2014/main" id="{00000000-0008-0000-0A00-0000FB080000}"/>
            </a:ext>
          </a:extLst>
        </xdr:cNvPr>
        <xdr:cNvSpPr/>
      </xdr:nvSpPr>
      <xdr:spPr>
        <a:xfrm>
          <a:off x="12302182" y="17510212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133</xdr:row>
      <xdr:rowOff>1057467</xdr:rowOff>
    </xdr:from>
    <xdr:to>
      <xdr:col>5</xdr:col>
      <xdr:colOff>2307546</xdr:colOff>
      <xdr:row>133</xdr:row>
      <xdr:rowOff>1116082</xdr:rowOff>
    </xdr:to>
    <xdr:sp macro="" textlink="">
      <xdr:nvSpPr>
        <xdr:cNvPr id="2300" name="Rectangle 2299">
          <a:extLst>
            <a:ext uri="{FF2B5EF4-FFF2-40B4-BE49-F238E27FC236}">
              <a16:creationId xmlns:a16="http://schemas.microsoft.com/office/drawing/2014/main" id="{00000000-0008-0000-0A00-0000FC080000}"/>
            </a:ext>
          </a:extLst>
        </xdr:cNvPr>
        <xdr:cNvSpPr/>
      </xdr:nvSpPr>
      <xdr:spPr>
        <a:xfrm>
          <a:off x="11097760" y="17479346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838339</xdr:colOff>
      <xdr:row>133</xdr:row>
      <xdr:rowOff>960333</xdr:rowOff>
    </xdr:from>
    <xdr:to>
      <xdr:col>5</xdr:col>
      <xdr:colOff>1072801</xdr:colOff>
      <xdr:row>133</xdr:row>
      <xdr:rowOff>1187467</xdr:rowOff>
    </xdr:to>
    <xdr:sp macro="" textlink="">
      <xdr:nvSpPr>
        <xdr:cNvPr id="2301" name="Organigramme : Jonction de sommaire 2300">
          <a:extLst>
            <a:ext uri="{FF2B5EF4-FFF2-40B4-BE49-F238E27FC236}">
              <a16:creationId xmlns:a16="http://schemas.microsoft.com/office/drawing/2014/main" id="{00000000-0008-0000-0A00-0000FD080000}"/>
            </a:ext>
          </a:extLst>
        </xdr:cNvPr>
        <xdr:cNvSpPr/>
      </xdr:nvSpPr>
      <xdr:spPr>
        <a:xfrm>
          <a:off x="11533553" y="17469633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1599031</xdr:colOff>
      <xdr:row>133</xdr:row>
      <xdr:rowOff>967659</xdr:rowOff>
    </xdr:from>
    <xdr:to>
      <xdr:col>5</xdr:col>
      <xdr:colOff>1833493</xdr:colOff>
      <xdr:row>133</xdr:row>
      <xdr:rowOff>1194793</xdr:rowOff>
    </xdr:to>
    <xdr:sp macro="" textlink="">
      <xdr:nvSpPr>
        <xdr:cNvPr id="2302" name="Organigramme : Jonction de sommaire 2301">
          <a:extLst>
            <a:ext uri="{FF2B5EF4-FFF2-40B4-BE49-F238E27FC236}">
              <a16:creationId xmlns:a16="http://schemas.microsoft.com/office/drawing/2014/main" id="{00000000-0008-0000-0A00-0000FE080000}"/>
            </a:ext>
          </a:extLst>
        </xdr:cNvPr>
        <xdr:cNvSpPr/>
      </xdr:nvSpPr>
      <xdr:spPr>
        <a:xfrm>
          <a:off x="12294245" y="17470365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326572</xdr:colOff>
      <xdr:row>134</xdr:row>
      <xdr:rowOff>394607</xdr:rowOff>
    </xdr:from>
    <xdr:to>
      <xdr:col>5</xdr:col>
      <xdr:colOff>2394857</xdr:colOff>
      <xdr:row>134</xdr:row>
      <xdr:rowOff>1714500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1021786" y="192377786"/>
          <a:ext cx="2068285" cy="131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 b="1"/>
            <a:t>Nombre de Spot Faux</a:t>
          </a:r>
        </a:p>
      </xdr:txBody>
    </xdr:sp>
    <xdr:clientData/>
  </xdr:twoCellAnchor>
  <xdr:twoCellAnchor>
    <xdr:from>
      <xdr:col>5</xdr:col>
      <xdr:colOff>1485900</xdr:colOff>
      <xdr:row>71</xdr:row>
      <xdr:rowOff>666750</xdr:rowOff>
    </xdr:from>
    <xdr:to>
      <xdr:col>5</xdr:col>
      <xdr:colOff>1720362</xdr:colOff>
      <xdr:row>71</xdr:row>
      <xdr:rowOff>893884</xdr:rowOff>
    </xdr:to>
    <xdr:sp macro="" textlink="">
      <xdr:nvSpPr>
        <xdr:cNvPr id="961" name="Organigramme : Jonction de sommaire 960">
          <a:extLst>
            <a:ext uri="{FF2B5EF4-FFF2-40B4-BE49-F238E27FC236}">
              <a16:creationId xmlns:a16="http://schemas.microsoft.com/office/drawing/2014/main" id="{00000000-0008-0000-0A00-0000C1030000}"/>
            </a:ext>
          </a:extLst>
        </xdr:cNvPr>
        <xdr:cNvSpPr/>
      </xdr:nvSpPr>
      <xdr:spPr>
        <a:xfrm>
          <a:off x="12163425" y="650271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1190625</xdr:colOff>
      <xdr:row>71</xdr:row>
      <xdr:rowOff>666750</xdr:rowOff>
    </xdr:from>
    <xdr:to>
      <xdr:col>5</xdr:col>
      <xdr:colOff>1425087</xdr:colOff>
      <xdr:row>71</xdr:row>
      <xdr:rowOff>893884</xdr:rowOff>
    </xdr:to>
    <xdr:sp macro="" textlink="">
      <xdr:nvSpPr>
        <xdr:cNvPr id="962" name="Organigramme : Jonction de sommaire 961">
          <a:extLst>
            <a:ext uri="{FF2B5EF4-FFF2-40B4-BE49-F238E27FC236}">
              <a16:creationId xmlns:a16="http://schemas.microsoft.com/office/drawing/2014/main" id="{00000000-0008-0000-0A00-0000C2030000}"/>
            </a:ext>
          </a:extLst>
        </xdr:cNvPr>
        <xdr:cNvSpPr/>
      </xdr:nvSpPr>
      <xdr:spPr>
        <a:xfrm>
          <a:off x="11868150" y="650271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838200</xdr:colOff>
      <xdr:row>73</xdr:row>
      <xdr:rowOff>628650</xdr:rowOff>
    </xdr:from>
    <xdr:to>
      <xdr:col>5</xdr:col>
      <xdr:colOff>1072662</xdr:colOff>
      <xdr:row>73</xdr:row>
      <xdr:rowOff>855784</xdr:rowOff>
    </xdr:to>
    <xdr:sp macro="" textlink="">
      <xdr:nvSpPr>
        <xdr:cNvPr id="963" name="Organigramme : Jonction de sommaire 962">
          <a:extLst>
            <a:ext uri="{FF2B5EF4-FFF2-40B4-BE49-F238E27FC236}">
              <a16:creationId xmlns:a16="http://schemas.microsoft.com/office/drawing/2014/main" id="{00000000-0008-0000-0A00-0000C3030000}"/>
            </a:ext>
          </a:extLst>
        </xdr:cNvPr>
        <xdr:cNvSpPr/>
      </xdr:nvSpPr>
      <xdr:spPr>
        <a:xfrm>
          <a:off x="11515725" y="690467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1762176</xdr:colOff>
      <xdr:row>73</xdr:row>
      <xdr:rowOff>633935</xdr:rowOff>
    </xdr:from>
    <xdr:to>
      <xdr:col>5</xdr:col>
      <xdr:colOff>1996638</xdr:colOff>
      <xdr:row>73</xdr:row>
      <xdr:rowOff>861069</xdr:rowOff>
    </xdr:to>
    <xdr:sp macro="" textlink="">
      <xdr:nvSpPr>
        <xdr:cNvPr id="964" name="Organigramme : Jonction de sommaire 963">
          <a:extLst>
            <a:ext uri="{FF2B5EF4-FFF2-40B4-BE49-F238E27FC236}">
              <a16:creationId xmlns:a16="http://schemas.microsoft.com/office/drawing/2014/main" id="{00000000-0008-0000-0A00-0000C4030000}"/>
            </a:ext>
          </a:extLst>
        </xdr:cNvPr>
        <xdr:cNvSpPr/>
      </xdr:nvSpPr>
      <xdr:spPr>
        <a:xfrm>
          <a:off x="12439701" y="690520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1435213</xdr:colOff>
      <xdr:row>73</xdr:row>
      <xdr:rowOff>633935</xdr:rowOff>
    </xdr:from>
    <xdr:to>
      <xdr:col>5</xdr:col>
      <xdr:colOff>1669675</xdr:colOff>
      <xdr:row>73</xdr:row>
      <xdr:rowOff>861069</xdr:rowOff>
    </xdr:to>
    <xdr:sp macro="" textlink="">
      <xdr:nvSpPr>
        <xdr:cNvPr id="965" name="Organigramme : Jonction de sommaire 964">
          <a:extLst>
            <a:ext uri="{FF2B5EF4-FFF2-40B4-BE49-F238E27FC236}">
              <a16:creationId xmlns:a16="http://schemas.microsoft.com/office/drawing/2014/main" id="{00000000-0008-0000-0A00-0000C5030000}"/>
            </a:ext>
          </a:extLst>
        </xdr:cNvPr>
        <xdr:cNvSpPr/>
      </xdr:nvSpPr>
      <xdr:spPr>
        <a:xfrm>
          <a:off x="12112738" y="690520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1139938</xdr:colOff>
      <xdr:row>73</xdr:row>
      <xdr:rowOff>633935</xdr:rowOff>
    </xdr:from>
    <xdr:to>
      <xdr:col>5</xdr:col>
      <xdr:colOff>1374400</xdr:colOff>
      <xdr:row>73</xdr:row>
      <xdr:rowOff>861069</xdr:rowOff>
    </xdr:to>
    <xdr:sp macro="" textlink="">
      <xdr:nvSpPr>
        <xdr:cNvPr id="966" name="Organigramme : Jonction de sommaire 965">
          <a:extLst>
            <a:ext uri="{FF2B5EF4-FFF2-40B4-BE49-F238E27FC236}">
              <a16:creationId xmlns:a16="http://schemas.microsoft.com/office/drawing/2014/main" id="{00000000-0008-0000-0A00-0000C6030000}"/>
            </a:ext>
          </a:extLst>
        </xdr:cNvPr>
        <xdr:cNvSpPr/>
      </xdr:nvSpPr>
      <xdr:spPr>
        <a:xfrm>
          <a:off x="11817463" y="690520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857250</xdr:colOff>
      <xdr:row>75</xdr:row>
      <xdr:rowOff>638175</xdr:rowOff>
    </xdr:from>
    <xdr:to>
      <xdr:col>5</xdr:col>
      <xdr:colOff>1091712</xdr:colOff>
      <xdr:row>75</xdr:row>
      <xdr:rowOff>865309</xdr:rowOff>
    </xdr:to>
    <xdr:sp macro="" textlink="">
      <xdr:nvSpPr>
        <xdr:cNvPr id="967" name="Organigramme : Jonction de sommaire 966">
          <a:extLst>
            <a:ext uri="{FF2B5EF4-FFF2-40B4-BE49-F238E27FC236}">
              <a16:creationId xmlns:a16="http://schemas.microsoft.com/office/drawing/2014/main" id="{00000000-0008-0000-0A00-0000C7030000}"/>
            </a:ext>
          </a:extLst>
        </xdr:cNvPr>
        <xdr:cNvSpPr/>
      </xdr:nvSpPr>
      <xdr:spPr>
        <a:xfrm>
          <a:off x="11534775" y="731139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1781226</xdr:colOff>
      <xdr:row>75</xdr:row>
      <xdr:rowOff>643460</xdr:rowOff>
    </xdr:from>
    <xdr:to>
      <xdr:col>5</xdr:col>
      <xdr:colOff>2015688</xdr:colOff>
      <xdr:row>75</xdr:row>
      <xdr:rowOff>870594</xdr:rowOff>
    </xdr:to>
    <xdr:sp macro="" textlink="">
      <xdr:nvSpPr>
        <xdr:cNvPr id="968" name="Organigramme : Jonction de sommaire 967">
          <a:extLst>
            <a:ext uri="{FF2B5EF4-FFF2-40B4-BE49-F238E27FC236}">
              <a16:creationId xmlns:a16="http://schemas.microsoft.com/office/drawing/2014/main" id="{00000000-0008-0000-0A00-0000C8030000}"/>
            </a:ext>
          </a:extLst>
        </xdr:cNvPr>
        <xdr:cNvSpPr/>
      </xdr:nvSpPr>
      <xdr:spPr>
        <a:xfrm>
          <a:off x="12458751" y="731191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1454263</xdr:colOff>
      <xdr:row>75</xdr:row>
      <xdr:rowOff>643460</xdr:rowOff>
    </xdr:from>
    <xdr:to>
      <xdr:col>5</xdr:col>
      <xdr:colOff>1688725</xdr:colOff>
      <xdr:row>75</xdr:row>
      <xdr:rowOff>870594</xdr:rowOff>
    </xdr:to>
    <xdr:sp macro="" textlink="">
      <xdr:nvSpPr>
        <xdr:cNvPr id="969" name="Organigramme : Jonction de sommaire 968">
          <a:extLst>
            <a:ext uri="{FF2B5EF4-FFF2-40B4-BE49-F238E27FC236}">
              <a16:creationId xmlns:a16="http://schemas.microsoft.com/office/drawing/2014/main" id="{00000000-0008-0000-0A00-0000C9030000}"/>
            </a:ext>
          </a:extLst>
        </xdr:cNvPr>
        <xdr:cNvSpPr/>
      </xdr:nvSpPr>
      <xdr:spPr>
        <a:xfrm>
          <a:off x="12131788" y="731191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1158988</xdr:colOff>
      <xdr:row>75</xdr:row>
      <xdr:rowOff>643460</xdr:rowOff>
    </xdr:from>
    <xdr:to>
      <xdr:col>5</xdr:col>
      <xdr:colOff>1393450</xdr:colOff>
      <xdr:row>75</xdr:row>
      <xdr:rowOff>870594</xdr:rowOff>
    </xdr:to>
    <xdr:sp macro="" textlink="">
      <xdr:nvSpPr>
        <xdr:cNvPr id="970" name="Organigramme : Jonction de sommaire 969">
          <a:extLst>
            <a:ext uri="{FF2B5EF4-FFF2-40B4-BE49-F238E27FC236}">
              <a16:creationId xmlns:a16="http://schemas.microsoft.com/office/drawing/2014/main" id="{00000000-0008-0000-0A00-0000CA030000}"/>
            </a:ext>
          </a:extLst>
        </xdr:cNvPr>
        <xdr:cNvSpPr/>
      </xdr:nvSpPr>
      <xdr:spPr>
        <a:xfrm>
          <a:off x="11836513" y="731191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857250</xdr:colOff>
      <xdr:row>77</xdr:row>
      <xdr:rowOff>666750</xdr:rowOff>
    </xdr:from>
    <xdr:to>
      <xdr:col>5</xdr:col>
      <xdr:colOff>1091712</xdr:colOff>
      <xdr:row>77</xdr:row>
      <xdr:rowOff>893884</xdr:rowOff>
    </xdr:to>
    <xdr:sp macro="" textlink="">
      <xdr:nvSpPr>
        <xdr:cNvPr id="975" name="Organigramme : Jonction de sommaire 974">
          <a:extLst>
            <a:ext uri="{FF2B5EF4-FFF2-40B4-BE49-F238E27FC236}">
              <a16:creationId xmlns:a16="http://schemas.microsoft.com/office/drawing/2014/main" id="{00000000-0008-0000-0A00-0000CF030000}"/>
            </a:ext>
          </a:extLst>
        </xdr:cNvPr>
        <xdr:cNvSpPr/>
      </xdr:nvSpPr>
      <xdr:spPr>
        <a:xfrm>
          <a:off x="11534775" y="772001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1781226</xdr:colOff>
      <xdr:row>77</xdr:row>
      <xdr:rowOff>672035</xdr:rowOff>
    </xdr:from>
    <xdr:to>
      <xdr:col>5</xdr:col>
      <xdr:colOff>2015688</xdr:colOff>
      <xdr:row>77</xdr:row>
      <xdr:rowOff>899169</xdr:rowOff>
    </xdr:to>
    <xdr:sp macro="" textlink="">
      <xdr:nvSpPr>
        <xdr:cNvPr id="976" name="Organigramme : Jonction de sommaire 975">
          <a:extLst>
            <a:ext uri="{FF2B5EF4-FFF2-40B4-BE49-F238E27FC236}">
              <a16:creationId xmlns:a16="http://schemas.microsoft.com/office/drawing/2014/main" id="{00000000-0008-0000-0A00-0000D0030000}"/>
            </a:ext>
          </a:extLst>
        </xdr:cNvPr>
        <xdr:cNvSpPr/>
      </xdr:nvSpPr>
      <xdr:spPr>
        <a:xfrm>
          <a:off x="12458751" y="772054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1454263</xdr:colOff>
      <xdr:row>77</xdr:row>
      <xdr:rowOff>672035</xdr:rowOff>
    </xdr:from>
    <xdr:to>
      <xdr:col>5</xdr:col>
      <xdr:colOff>1688725</xdr:colOff>
      <xdr:row>77</xdr:row>
      <xdr:rowOff>899169</xdr:rowOff>
    </xdr:to>
    <xdr:sp macro="" textlink="">
      <xdr:nvSpPr>
        <xdr:cNvPr id="977" name="Organigramme : Jonction de sommaire 976">
          <a:extLst>
            <a:ext uri="{FF2B5EF4-FFF2-40B4-BE49-F238E27FC236}">
              <a16:creationId xmlns:a16="http://schemas.microsoft.com/office/drawing/2014/main" id="{00000000-0008-0000-0A00-0000D1030000}"/>
            </a:ext>
          </a:extLst>
        </xdr:cNvPr>
        <xdr:cNvSpPr/>
      </xdr:nvSpPr>
      <xdr:spPr>
        <a:xfrm>
          <a:off x="12131788" y="772054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1158988</xdr:colOff>
      <xdr:row>77</xdr:row>
      <xdr:rowOff>672035</xdr:rowOff>
    </xdr:from>
    <xdr:to>
      <xdr:col>5</xdr:col>
      <xdr:colOff>1393450</xdr:colOff>
      <xdr:row>77</xdr:row>
      <xdr:rowOff>899169</xdr:rowOff>
    </xdr:to>
    <xdr:sp macro="" textlink="">
      <xdr:nvSpPr>
        <xdr:cNvPr id="978" name="Organigramme : Jonction de sommaire 977">
          <a:extLst>
            <a:ext uri="{FF2B5EF4-FFF2-40B4-BE49-F238E27FC236}">
              <a16:creationId xmlns:a16="http://schemas.microsoft.com/office/drawing/2014/main" id="{00000000-0008-0000-0A00-0000D2030000}"/>
            </a:ext>
          </a:extLst>
        </xdr:cNvPr>
        <xdr:cNvSpPr/>
      </xdr:nvSpPr>
      <xdr:spPr>
        <a:xfrm>
          <a:off x="11836513" y="772054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590550</xdr:colOff>
      <xdr:row>79</xdr:row>
      <xdr:rowOff>698622</xdr:rowOff>
    </xdr:from>
    <xdr:to>
      <xdr:col>5</xdr:col>
      <xdr:colOff>825012</xdr:colOff>
      <xdr:row>79</xdr:row>
      <xdr:rowOff>925756</xdr:rowOff>
    </xdr:to>
    <xdr:sp macro="" textlink="">
      <xdr:nvSpPr>
        <xdr:cNvPr id="991" name="Organigramme : Jonction de sommaire 990">
          <a:extLst>
            <a:ext uri="{FF2B5EF4-FFF2-40B4-BE49-F238E27FC236}">
              <a16:creationId xmlns:a16="http://schemas.microsoft.com/office/drawing/2014/main" id="{00000000-0008-0000-0A00-0000DF030000}"/>
            </a:ext>
          </a:extLst>
        </xdr:cNvPr>
        <xdr:cNvSpPr/>
      </xdr:nvSpPr>
      <xdr:spPr>
        <a:xfrm>
          <a:off x="11268075" y="8128964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1881920</xdr:colOff>
      <xdr:row>79</xdr:row>
      <xdr:rowOff>705948</xdr:rowOff>
    </xdr:from>
    <xdr:to>
      <xdr:col>5</xdr:col>
      <xdr:colOff>2116382</xdr:colOff>
      <xdr:row>79</xdr:row>
      <xdr:rowOff>933082</xdr:rowOff>
    </xdr:to>
    <xdr:sp macro="" textlink="">
      <xdr:nvSpPr>
        <xdr:cNvPr id="992" name="Organigramme : Jonction de sommaire 991">
          <a:extLst>
            <a:ext uri="{FF2B5EF4-FFF2-40B4-BE49-F238E27FC236}">
              <a16:creationId xmlns:a16="http://schemas.microsoft.com/office/drawing/2014/main" id="{00000000-0008-0000-0A00-0000E0030000}"/>
            </a:ext>
          </a:extLst>
        </xdr:cNvPr>
        <xdr:cNvSpPr/>
      </xdr:nvSpPr>
      <xdr:spPr>
        <a:xfrm>
          <a:off x="12559445" y="812969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1010933</xdr:colOff>
      <xdr:row>79</xdr:row>
      <xdr:rowOff>685800</xdr:rowOff>
    </xdr:from>
    <xdr:to>
      <xdr:col>5</xdr:col>
      <xdr:colOff>1245395</xdr:colOff>
      <xdr:row>79</xdr:row>
      <xdr:rowOff>912934</xdr:rowOff>
    </xdr:to>
    <xdr:sp macro="" textlink="">
      <xdr:nvSpPr>
        <xdr:cNvPr id="993" name="Organigramme : Jonction de sommaire 992">
          <a:extLst>
            <a:ext uri="{FF2B5EF4-FFF2-40B4-BE49-F238E27FC236}">
              <a16:creationId xmlns:a16="http://schemas.microsoft.com/office/drawing/2014/main" id="{00000000-0008-0000-0A00-0000E1030000}"/>
            </a:ext>
          </a:extLst>
        </xdr:cNvPr>
        <xdr:cNvSpPr/>
      </xdr:nvSpPr>
      <xdr:spPr>
        <a:xfrm>
          <a:off x="11688458" y="812768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1451464</xdr:colOff>
      <xdr:row>79</xdr:row>
      <xdr:rowOff>697705</xdr:rowOff>
    </xdr:from>
    <xdr:to>
      <xdr:col>5</xdr:col>
      <xdr:colOff>1685926</xdr:colOff>
      <xdr:row>79</xdr:row>
      <xdr:rowOff>924839</xdr:rowOff>
    </xdr:to>
    <xdr:sp macro="" textlink="">
      <xdr:nvSpPr>
        <xdr:cNvPr id="994" name="Organigramme : Jonction de sommaire 993">
          <a:extLst>
            <a:ext uri="{FF2B5EF4-FFF2-40B4-BE49-F238E27FC236}">
              <a16:creationId xmlns:a16="http://schemas.microsoft.com/office/drawing/2014/main" id="{00000000-0008-0000-0A00-0000E2030000}"/>
            </a:ext>
          </a:extLst>
        </xdr:cNvPr>
        <xdr:cNvSpPr/>
      </xdr:nvSpPr>
      <xdr:spPr>
        <a:xfrm>
          <a:off x="12128989" y="8128873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571500</xdr:colOff>
      <xdr:row>81</xdr:row>
      <xdr:rowOff>708147</xdr:rowOff>
    </xdr:from>
    <xdr:to>
      <xdr:col>5</xdr:col>
      <xdr:colOff>805962</xdr:colOff>
      <xdr:row>81</xdr:row>
      <xdr:rowOff>935281</xdr:rowOff>
    </xdr:to>
    <xdr:sp macro="" textlink="">
      <xdr:nvSpPr>
        <xdr:cNvPr id="995" name="Organigramme : Jonction de sommaire 994">
          <a:extLst>
            <a:ext uri="{FF2B5EF4-FFF2-40B4-BE49-F238E27FC236}">
              <a16:creationId xmlns:a16="http://schemas.microsoft.com/office/drawing/2014/main" id="{00000000-0008-0000-0A00-0000E3030000}"/>
            </a:ext>
          </a:extLst>
        </xdr:cNvPr>
        <xdr:cNvSpPr/>
      </xdr:nvSpPr>
      <xdr:spPr>
        <a:xfrm>
          <a:off x="11249025" y="8738564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1862870</xdr:colOff>
      <xdr:row>81</xdr:row>
      <xdr:rowOff>715473</xdr:rowOff>
    </xdr:from>
    <xdr:to>
      <xdr:col>5</xdr:col>
      <xdr:colOff>2097332</xdr:colOff>
      <xdr:row>81</xdr:row>
      <xdr:rowOff>942607</xdr:rowOff>
    </xdr:to>
    <xdr:sp macro="" textlink="">
      <xdr:nvSpPr>
        <xdr:cNvPr id="996" name="Organigramme : Jonction de sommaire 995">
          <a:extLst>
            <a:ext uri="{FF2B5EF4-FFF2-40B4-BE49-F238E27FC236}">
              <a16:creationId xmlns:a16="http://schemas.microsoft.com/office/drawing/2014/main" id="{00000000-0008-0000-0A00-0000E4030000}"/>
            </a:ext>
          </a:extLst>
        </xdr:cNvPr>
        <xdr:cNvSpPr/>
      </xdr:nvSpPr>
      <xdr:spPr>
        <a:xfrm>
          <a:off x="12540395" y="873929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991883</xdr:colOff>
      <xdr:row>81</xdr:row>
      <xdr:rowOff>695325</xdr:rowOff>
    </xdr:from>
    <xdr:to>
      <xdr:col>5</xdr:col>
      <xdr:colOff>1226345</xdr:colOff>
      <xdr:row>81</xdr:row>
      <xdr:rowOff>922459</xdr:rowOff>
    </xdr:to>
    <xdr:sp macro="" textlink="">
      <xdr:nvSpPr>
        <xdr:cNvPr id="997" name="Organigramme : Jonction de sommaire 996">
          <a:extLst>
            <a:ext uri="{FF2B5EF4-FFF2-40B4-BE49-F238E27FC236}">
              <a16:creationId xmlns:a16="http://schemas.microsoft.com/office/drawing/2014/main" id="{00000000-0008-0000-0A00-0000E5030000}"/>
            </a:ext>
          </a:extLst>
        </xdr:cNvPr>
        <xdr:cNvSpPr/>
      </xdr:nvSpPr>
      <xdr:spPr>
        <a:xfrm>
          <a:off x="11669408" y="873728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1432414</xdr:colOff>
      <xdr:row>81</xdr:row>
      <xdr:rowOff>707230</xdr:rowOff>
    </xdr:from>
    <xdr:to>
      <xdr:col>5</xdr:col>
      <xdr:colOff>1666876</xdr:colOff>
      <xdr:row>81</xdr:row>
      <xdr:rowOff>934364</xdr:rowOff>
    </xdr:to>
    <xdr:sp macro="" textlink="">
      <xdr:nvSpPr>
        <xdr:cNvPr id="998" name="Organigramme : Jonction de sommaire 997">
          <a:extLst>
            <a:ext uri="{FF2B5EF4-FFF2-40B4-BE49-F238E27FC236}">
              <a16:creationId xmlns:a16="http://schemas.microsoft.com/office/drawing/2014/main" id="{00000000-0008-0000-0A00-0000E6030000}"/>
            </a:ext>
          </a:extLst>
        </xdr:cNvPr>
        <xdr:cNvSpPr/>
      </xdr:nvSpPr>
      <xdr:spPr>
        <a:xfrm>
          <a:off x="12109939" y="8738473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609600</xdr:colOff>
      <xdr:row>83</xdr:row>
      <xdr:rowOff>717672</xdr:rowOff>
    </xdr:from>
    <xdr:to>
      <xdr:col>5</xdr:col>
      <xdr:colOff>844062</xdr:colOff>
      <xdr:row>83</xdr:row>
      <xdr:rowOff>944806</xdr:rowOff>
    </xdr:to>
    <xdr:sp macro="" textlink="">
      <xdr:nvSpPr>
        <xdr:cNvPr id="999" name="Organigramme : Jonction de sommaire 998">
          <a:extLst>
            <a:ext uri="{FF2B5EF4-FFF2-40B4-BE49-F238E27FC236}">
              <a16:creationId xmlns:a16="http://schemas.microsoft.com/office/drawing/2014/main" id="{00000000-0008-0000-0A00-0000E7030000}"/>
            </a:ext>
          </a:extLst>
        </xdr:cNvPr>
        <xdr:cNvSpPr/>
      </xdr:nvSpPr>
      <xdr:spPr>
        <a:xfrm>
          <a:off x="11287125" y="9348164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1900970</xdr:colOff>
      <xdr:row>83</xdr:row>
      <xdr:rowOff>724998</xdr:rowOff>
    </xdr:from>
    <xdr:to>
      <xdr:col>5</xdr:col>
      <xdr:colOff>2135432</xdr:colOff>
      <xdr:row>83</xdr:row>
      <xdr:rowOff>952132</xdr:rowOff>
    </xdr:to>
    <xdr:sp macro="" textlink="">
      <xdr:nvSpPr>
        <xdr:cNvPr id="1000" name="Organigramme : Jonction de sommaire 999">
          <a:extLst>
            <a:ext uri="{FF2B5EF4-FFF2-40B4-BE49-F238E27FC236}">
              <a16:creationId xmlns:a16="http://schemas.microsoft.com/office/drawing/2014/main" id="{00000000-0008-0000-0A00-0000E8030000}"/>
            </a:ext>
          </a:extLst>
        </xdr:cNvPr>
        <xdr:cNvSpPr/>
      </xdr:nvSpPr>
      <xdr:spPr>
        <a:xfrm>
          <a:off x="12578495" y="934889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1029983</xdr:colOff>
      <xdr:row>83</xdr:row>
      <xdr:rowOff>704850</xdr:rowOff>
    </xdr:from>
    <xdr:to>
      <xdr:col>5</xdr:col>
      <xdr:colOff>1264445</xdr:colOff>
      <xdr:row>83</xdr:row>
      <xdr:rowOff>931984</xdr:rowOff>
    </xdr:to>
    <xdr:sp macro="" textlink="">
      <xdr:nvSpPr>
        <xdr:cNvPr id="1001" name="Organigramme : Jonction de sommaire 1000">
          <a:extLst>
            <a:ext uri="{FF2B5EF4-FFF2-40B4-BE49-F238E27FC236}">
              <a16:creationId xmlns:a16="http://schemas.microsoft.com/office/drawing/2014/main" id="{00000000-0008-0000-0A00-0000E9030000}"/>
            </a:ext>
          </a:extLst>
        </xdr:cNvPr>
        <xdr:cNvSpPr/>
      </xdr:nvSpPr>
      <xdr:spPr>
        <a:xfrm>
          <a:off x="11707508" y="934688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1470514</xdr:colOff>
      <xdr:row>83</xdr:row>
      <xdr:rowOff>716755</xdr:rowOff>
    </xdr:from>
    <xdr:to>
      <xdr:col>5</xdr:col>
      <xdr:colOff>1704976</xdr:colOff>
      <xdr:row>83</xdr:row>
      <xdr:rowOff>943889</xdr:rowOff>
    </xdr:to>
    <xdr:sp macro="" textlink="">
      <xdr:nvSpPr>
        <xdr:cNvPr id="1002" name="Organigramme : Jonction de sommaire 1001">
          <a:extLst>
            <a:ext uri="{FF2B5EF4-FFF2-40B4-BE49-F238E27FC236}">
              <a16:creationId xmlns:a16="http://schemas.microsoft.com/office/drawing/2014/main" id="{00000000-0008-0000-0A00-0000EA030000}"/>
            </a:ext>
          </a:extLst>
        </xdr:cNvPr>
        <xdr:cNvSpPr/>
      </xdr:nvSpPr>
      <xdr:spPr>
        <a:xfrm>
          <a:off x="12148039" y="9348073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609600</xdr:colOff>
      <xdr:row>85</xdr:row>
      <xdr:rowOff>717672</xdr:rowOff>
    </xdr:from>
    <xdr:to>
      <xdr:col>5</xdr:col>
      <xdr:colOff>844062</xdr:colOff>
      <xdr:row>85</xdr:row>
      <xdr:rowOff>944806</xdr:rowOff>
    </xdr:to>
    <xdr:sp macro="" textlink="">
      <xdr:nvSpPr>
        <xdr:cNvPr id="1003" name="Organigramme : Jonction de sommaire 1002">
          <a:extLst>
            <a:ext uri="{FF2B5EF4-FFF2-40B4-BE49-F238E27FC236}">
              <a16:creationId xmlns:a16="http://schemas.microsoft.com/office/drawing/2014/main" id="{00000000-0008-0000-0A00-0000EB030000}"/>
            </a:ext>
          </a:extLst>
        </xdr:cNvPr>
        <xdr:cNvSpPr/>
      </xdr:nvSpPr>
      <xdr:spPr>
        <a:xfrm>
          <a:off x="11287125" y="9956812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1900970</xdr:colOff>
      <xdr:row>85</xdr:row>
      <xdr:rowOff>724998</xdr:rowOff>
    </xdr:from>
    <xdr:to>
      <xdr:col>5</xdr:col>
      <xdr:colOff>2135432</xdr:colOff>
      <xdr:row>85</xdr:row>
      <xdr:rowOff>952132</xdr:rowOff>
    </xdr:to>
    <xdr:sp macro="" textlink="">
      <xdr:nvSpPr>
        <xdr:cNvPr id="1004" name="Organigramme : Jonction de sommaire 1003">
          <a:extLst>
            <a:ext uri="{FF2B5EF4-FFF2-40B4-BE49-F238E27FC236}">
              <a16:creationId xmlns:a16="http://schemas.microsoft.com/office/drawing/2014/main" id="{00000000-0008-0000-0A00-0000EC030000}"/>
            </a:ext>
          </a:extLst>
        </xdr:cNvPr>
        <xdr:cNvSpPr/>
      </xdr:nvSpPr>
      <xdr:spPr>
        <a:xfrm>
          <a:off x="12578495" y="9957544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1029983</xdr:colOff>
      <xdr:row>85</xdr:row>
      <xdr:rowOff>704850</xdr:rowOff>
    </xdr:from>
    <xdr:to>
      <xdr:col>5</xdr:col>
      <xdr:colOff>1264445</xdr:colOff>
      <xdr:row>85</xdr:row>
      <xdr:rowOff>931984</xdr:rowOff>
    </xdr:to>
    <xdr:sp macro="" textlink="">
      <xdr:nvSpPr>
        <xdr:cNvPr id="1005" name="Organigramme : Jonction de sommaire 1004">
          <a:extLst>
            <a:ext uri="{FF2B5EF4-FFF2-40B4-BE49-F238E27FC236}">
              <a16:creationId xmlns:a16="http://schemas.microsoft.com/office/drawing/2014/main" id="{00000000-0008-0000-0A00-0000ED030000}"/>
            </a:ext>
          </a:extLst>
        </xdr:cNvPr>
        <xdr:cNvSpPr/>
      </xdr:nvSpPr>
      <xdr:spPr>
        <a:xfrm>
          <a:off x="11707508" y="995553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1470514</xdr:colOff>
      <xdr:row>85</xdr:row>
      <xdr:rowOff>716755</xdr:rowOff>
    </xdr:from>
    <xdr:to>
      <xdr:col>5</xdr:col>
      <xdr:colOff>1704976</xdr:colOff>
      <xdr:row>85</xdr:row>
      <xdr:rowOff>943889</xdr:rowOff>
    </xdr:to>
    <xdr:sp macro="" textlink="">
      <xdr:nvSpPr>
        <xdr:cNvPr id="1006" name="Organigramme : Jonction de sommaire 1005">
          <a:extLst>
            <a:ext uri="{FF2B5EF4-FFF2-40B4-BE49-F238E27FC236}">
              <a16:creationId xmlns:a16="http://schemas.microsoft.com/office/drawing/2014/main" id="{00000000-0008-0000-0A00-0000EE030000}"/>
            </a:ext>
          </a:extLst>
        </xdr:cNvPr>
        <xdr:cNvSpPr/>
      </xdr:nvSpPr>
      <xdr:spPr>
        <a:xfrm>
          <a:off x="12148039" y="9956720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1600200</xdr:colOff>
      <xdr:row>111</xdr:row>
      <xdr:rowOff>1362075</xdr:rowOff>
    </xdr:from>
    <xdr:to>
      <xdr:col>5</xdr:col>
      <xdr:colOff>1834662</xdr:colOff>
      <xdr:row>111</xdr:row>
      <xdr:rowOff>1589209</xdr:rowOff>
    </xdr:to>
    <xdr:sp macro="" textlink="">
      <xdr:nvSpPr>
        <xdr:cNvPr id="1007" name="Organigramme : Jonction de sommaire 1006">
          <a:extLst>
            <a:ext uri="{FF2B5EF4-FFF2-40B4-BE49-F238E27FC236}">
              <a16:creationId xmlns:a16="http://schemas.microsoft.com/office/drawing/2014/main" id="{00000000-0008-0000-0A00-0000EF030000}"/>
            </a:ext>
          </a:extLst>
        </xdr:cNvPr>
        <xdr:cNvSpPr/>
      </xdr:nvSpPr>
      <xdr:spPr>
        <a:xfrm>
          <a:off x="12277725" y="1306449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971550</xdr:colOff>
      <xdr:row>111</xdr:row>
      <xdr:rowOff>1352550</xdr:rowOff>
    </xdr:from>
    <xdr:to>
      <xdr:col>5</xdr:col>
      <xdr:colOff>1206012</xdr:colOff>
      <xdr:row>111</xdr:row>
      <xdr:rowOff>1579684</xdr:rowOff>
    </xdr:to>
    <xdr:sp macro="" textlink="">
      <xdr:nvSpPr>
        <xdr:cNvPr id="1008" name="Organigramme : Jonction de sommaire 1007">
          <a:extLst>
            <a:ext uri="{FF2B5EF4-FFF2-40B4-BE49-F238E27FC236}">
              <a16:creationId xmlns:a16="http://schemas.microsoft.com/office/drawing/2014/main" id="{00000000-0008-0000-0A00-0000F0030000}"/>
            </a:ext>
          </a:extLst>
        </xdr:cNvPr>
        <xdr:cNvSpPr/>
      </xdr:nvSpPr>
      <xdr:spPr>
        <a:xfrm>
          <a:off x="11649075" y="1306353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1590675</xdr:colOff>
      <xdr:row>114</xdr:row>
      <xdr:rowOff>1362075</xdr:rowOff>
    </xdr:from>
    <xdr:to>
      <xdr:col>5</xdr:col>
      <xdr:colOff>1825137</xdr:colOff>
      <xdr:row>114</xdr:row>
      <xdr:rowOff>1589209</xdr:rowOff>
    </xdr:to>
    <xdr:sp macro="" textlink="">
      <xdr:nvSpPr>
        <xdr:cNvPr id="1009" name="Organigramme : Jonction de sommaire 1008">
          <a:extLst>
            <a:ext uri="{FF2B5EF4-FFF2-40B4-BE49-F238E27FC236}">
              <a16:creationId xmlns:a16="http://schemas.microsoft.com/office/drawing/2014/main" id="{00000000-0008-0000-0A00-0000F1030000}"/>
            </a:ext>
          </a:extLst>
        </xdr:cNvPr>
        <xdr:cNvSpPr/>
      </xdr:nvSpPr>
      <xdr:spPr>
        <a:xfrm>
          <a:off x="12268200" y="1387602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971550</xdr:colOff>
      <xdr:row>114</xdr:row>
      <xdr:rowOff>1352550</xdr:rowOff>
    </xdr:from>
    <xdr:to>
      <xdr:col>5</xdr:col>
      <xdr:colOff>1206012</xdr:colOff>
      <xdr:row>114</xdr:row>
      <xdr:rowOff>1579684</xdr:rowOff>
    </xdr:to>
    <xdr:sp macro="" textlink="">
      <xdr:nvSpPr>
        <xdr:cNvPr id="1010" name="Organigramme : Jonction de sommaire 1009">
          <a:extLst>
            <a:ext uri="{FF2B5EF4-FFF2-40B4-BE49-F238E27FC236}">
              <a16:creationId xmlns:a16="http://schemas.microsoft.com/office/drawing/2014/main" id="{00000000-0008-0000-0A00-0000F2030000}"/>
            </a:ext>
          </a:extLst>
        </xdr:cNvPr>
        <xdr:cNvSpPr/>
      </xdr:nvSpPr>
      <xdr:spPr>
        <a:xfrm>
          <a:off x="11649075" y="1387506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1600200</xdr:colOff>
      <xdr:row>117</xdr:row>
      <xdr:rowOff>1362075</xdr:rowOff>
    </xdr:from>
    <xdr:to>
      <xdr:col>5</xdr:col>
      <xdr:colOff>1834662</xdr:colOff>
      <xdr:row>117</xdr:row>
      <xdr:rowOff>1589209</xdr:rowOff>
    </xdr:to>
    <xdr:sp macro="" textlink="">
      <xdr:nvSpPr>
        <xdr:cNvPr id="1011" name="Organigramme : Jonction de sommaire 1010">
          <a:extLst>
            <a:ext uri="{FF2B5EF4-FFF2-40B4-BE49-F238E27FC236}">
              <a16:creationId xmlns:a16="http://schemas.microsoft.com/office/drawing/2014/main" id="{00000000-0008-0000-0A00-0000F3030000}"/>
            </a:ext>
          </a:extLst>
        </xdr:cNvPr>
        <xdr:cNvSpPr/>
      </xdr:nvSpPr>
      <xdr:spPr>
        <a:xfrm>
          <a:off x="12277725" y="1468755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990600</xdr:colOff>
      <xdr:row>117</xdr:row>
      <xdr:rowOff>1362075</xdr:rowOff>
    </xdr:from>
    <xdr:to>
      <xdr:col>5</xdr:col>
      <xdr:colOff>1225062</xdr:colOff>
      <xdr:row>117</xdr:row>
      <xdr:rowOff>1589209</xdr:rowOff>
    </xdr:to>
    <xdr:sp macro="" textlink="">
      <xdr:nvSpPr>
        <xdr:cNvPr id="1012" name="Organigramme : Jonction de sommaire 1011">
          <a:extLst>
            <a:ext uri="{FF2B5EF4-FFF2-40B4-BE49-F238E27FC236}">
              <a16:creationId xmlns:a16="http://schemas.microsoft.com/office/drawing/2014/main" id="{00000000-0008-0000-0A00-0000F4030000}"/>
            </a:ext>
          </a:extLst>
        </xdr:cNvPr>
        <xdr:cNvSpPr/>
      </xdr:nvSpPr>
      <xdr:spPr>
        <a:xfrm>
          <a:off x="11668125" y="1468755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1571625</xdr:colOff>
      <xdr:row>120</xdr:row>
      <xdr:rowOff>447675</xdr:rowOff>
    </xdr:from>
    <xdr:to>
      <xdr:col>5</xdr:col>
      <xdr:colOff>1806087</xdr:colOff>
      <xdr:row>120</xdr:row>
      <xdr:rowOff>674809</xdr:rowOff>
    </xdr:to>
    <xdr:sp macro="" textlink="">
      <xdr:nvSpPr>
        <xdr:cNvPr id="1013" name="Organigramme : Jonction de sommaire 1012">
          <a:extLst>
            <a:ext uri="{FF2B5EF4-FFF2-40B4-BE49-F238E27FC236}">
              <a16:creationId xmlns:a16="http://schemas.microsoft.com/office/drawing/2014/main" id="{00000000-0008-0000-0A00-0000F5030000}"/>
            </a:ext>
          </a:extLst>
        </xdr:cNvPr>
        <xdr:cNvSpPr/>
      </xdr:nvSpPr>
      <xdr:spPr>
        <a:xfrm>
          <a:off x="12249150" y="1540764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962025</xdr:colOff>
      <xdr:row>120</xdr:row>
      <xdr:rowOff>457200</xdr:rowOff>
    </xdr:from>
    <xdr:to>
      <xdr:col>5</xdr:col>
      <xdr:colOff>1196487</xdr:colOff>
      <xdr:row>120</xdr:row>
      <xdr:rowOff>684334</xdr:rowOff>
    </xdr:to>
    <xdr:sp macro="" textlink="">
      <xdr:nvSpPr>
        <xdr:cNvPr id="1014" name="Organigramme : Jonction de sommaire 1013">
          <a:extLst>
            <a:ext uri="{FF2B5EF4-FFF2-40B4-BE49-F238E27FC236}">
              <a16:creationId xmlns:a16="http://schemas.microsoft.com/office/drawing/2014/main" id="{00000000-0008-0000-0A00-0000F6030000}"/>
            </a:ext>
          </a:extLst>
        </xdr:cNvPr>
        <xdr:cNvSpPr/>
      </xdr:nvSpPr>
      <xdr:spPr>
        <a:xfrm>
          <a:off x="11639550" y="1540859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120</xdr:row>
      <xdr:rowOff>1447800</xdr:rowOff>
    </xdr:from>
    <xdr:to>
      <xdr:col>5</xdr:col>
      <xdr:colOff>2078831</xdr:colOff>
      <xdr:row>120</xdr:row>
      <xdr:rowOff>1493519</xdr:rowOff>
    </xdr:to>
    <xdr:sp macro="" textlink="">
      <xdr:nvSpPr>
        <xdr:cNvPr id="1015" name="Rectangle 1014">
          <a:extLst>
            <a:ext uri="{FF2B5EF4-FFF2-40B4-BE49-F238E27FC236}">
              <a16:creationId xmlns:a16="http://schemas.microsoft.com/office/drawing/2014/main" id="{00000000-0008-0000-0A00-0000F7030000}"/>
            </a:ext>
          </a:extLst>
        </xdr:cNvPr>
        <xdr:cNvSpPr/>
      </xdr:nvSpPr>
      <xdr:spPr>
        <a:xfrm>
          <a:off x="11410950" y="15507652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1571625</xdr:colOff>
      <xdr:row>120</xdr:row>
      <xdr:rowOff>1352550</xdr:rowOff>
    </xdr:from>
    <xdr:to>
      <xdr:col>5</xdr:col>
      <xdr:colOff>1806087</xdr:colOff>
      <xdr:row>120</xdr:row>
      <xdr:rowOff>1579684</xdr:rowOff>
    </xdr:to>
    <xdr:sp macro="" textlink="">
      <xdr:nvSpPr>
        <xdr:cNvPr id="1016" name="Organigramme : Jonction de sommaire 1015">
          <a:extLst>
            <a:ext uri="{FF2B5EF4-FFF2-40B4-BE49-F238E27FC236}">
              <a16:creationId xmlns:a16="http://schemas.microsoft.com/office/drawing/2014/main" id="{00000000-0008-0000-0A00-0000F8030000}"/>
            </a:ext>
          </a:extLst>
        </xdr:cNvPr>
        <xdr:cNvSpPr/>
      </xdr:nvSpPr>
      <xdr:spPr>
        <a:xfrm>
          <a:off x="12249150" y="1549812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962025</xdr:colOff>
      <xdr:row>120</xdr:row>
      <xdr:rowOff>1352550</xdr:rowOff>
    </xdr:from>
    <xdr:to>
      <xdr:col>5</xdr:col>
      <xdr:colOff>1196487</xdr:colOff>
      <xdr:row>120</xdr:row>
      <xdr:rowOff>1579684</xdr:rowOff>
    </xdr:to>
    <xdr:sp macro="" textlink="">
      <xdr:nvSpPr>
        <xdr:cNvPr id="1017" name="Organigramme : Jonction de sommaire 1016">
          <a:extLst>
            <a:ext uri="{FF2B5EF4-FFF2-40B4-BE49-F238E27FC236}">
              <a16:creationId xmlns:a16="http://schemas.microsoft.com/office/drawing/2014/main" id="{00000000-0008-0000-0A00-0000F9030000}"/>
            </a:ext>
          </a:extLst>
        </xdr:cNvPr>
        <xdr:cNvSpPr/>
      </xdr:nvSpPr>
      <xdr:spPr>
        <a:xfrm>
          <a:off x="11639550" y="1549812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1628775</xdr:colOff>
      <xdr:row>123</xdr:row>
      <xdr:rowOff>542925</xdr:rowOff>
    </xdr:from>
    <xdr:to>
      <xdr:col>5</xdr:col>
      <xdr:colOff>1863237</xdr:colOff>
      <xdr:row>123</xdr:row>
      <xdr:rowOff>770059</xdr:rowOff>
    </xdr:to>
    <xdr:sp macro="" textlink="">
      <xdr:nvSpPr>
        <xdr:cNvPr id="1018" name="Organigramme : Jonction de sommaire 1017">
          <a:extLst>
            <a:ext uri="{FF2B5EF4-FFF2-40B4-BE49-F238E27FC236}">
              <a16:creationId xmlns:a16="http://schemas.microsoft.com/office/drawing/2014/main" id="{00000000-0008-0000-0A00-0000FA030000}"/>
            </a:ext>
          </a:extLst>
        </xdr:cNvPr>
        <xdr:cNvSpPr/>
      </xdr:nvSpPr>
      <xdr:spPr>
        <a:xfrm>
          <a:off x="12306300" y="16228695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800100</xdr:colOff>
      <xdr:row>123</xdr:row>
      <xdr:rowOff>552450</xdr:rowOff>
    </xdr:from>
    <xdr:to>
      <xdr:col>5</xdr:col>
      <xdr:colOff>1034562</xdr:colOff>
      <xdr:row>123</xdr:row>
      <xdr:rowOff>779584</xdr:rowOff>
    </xdr:to>
    <xdr:sp macro="" textlink="">
      <xdr:nvSpPr>
        <xdr:cNvPr id="1019" name="Organigramme : Jonction de sommaire 1018">
          <a:extLst>
            <a:ext uri="{FF2B5EF4-FFF2-40B4-BE49-F238E27FC236}">
              <a16:creationId xmlns:a16="http://schemas.microsoft.com/office/drawing/2014/main" id="{00000000-0008-0000-0A00-0000FB030000}"/>
            </a:ext>
          </a:extLst>
        </xdr:cNvPr>
        <xdr:cNvSpPr/>
      </xdr:nvSpPr>
      <xdr:spPr>
        <a:xfrm>
          <a:off x="11477625" y="1622964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1609725</xdr:colOff>
      <xdr:row>126</xdr:row>
      <xdr:rowOff>1371600</xdr:rowOff>
    </xdr:from>
    <xdr:to>
      <xdr:col>5</xdr:col>
      <xdr:colOff>1844187</xdr:colOff>
      <xdr:row>126</xdr:row>
      <xdr:rowOff>1598734</xdr:rowOff>
    </xdr:to>
    <xdr:sp macro="" textlink="">
      <xdr:nvSpPr>
        <xdr:cNvPr id="1020" name="Organigramme : Jonction de sommaire 1019">
          <a:extLst>
            <a:ext uri="{FF2B5EF4-FFF2-40B4-BE49-F238E27FC236}">
              <a16:creationId xmlns:a16="http://schemas.microsoft.com/office/drawing/2014/main" id="{00000000-0008-0000-0A00-0000FC030000}"/>
            </a:ext>
          </a:extLst>
        </xdr:cNvPr>
        <xdr:cNvSpPr/>
      </xdr:nvSpPr>
      <xdr:spPr>
        <a:xfrm>
          <a:off x="12287250" y="1712309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838200</xdr:colOff>
      <xdr:row>126</xdr:row>
      <xdr:rowOff>1371600</xdr:rowOff>
    </xdr:from>
    <xdr:to>
      <xdr:col>5</xdr:col>
      <xdr:colOff>1072662</xdr:colOff>
      <xdr:row>126</xdr:row>
      <xdr:rowOff>1598734</xdr:rowOff>
    </xdr:to>
    <xdr:sp macro="" textlink="">
      <xdr:nvSpPr>
        <xdr:cNvPr id="1021" name="Organigramme : Jonction de sommaire 1020">
          <a:extLst>
            <a:ext uri="{FF2B5EF4-FFF2-40B4-BE49-F238E27FC236}">
              <a16:creationId xmlns:a16="http://schemas.microsoft.com/office/drawing/2014/main" id="{00000000-0008-0000-0A00-0000FD030000}"/>
            </a:ext>
          </a:extLst>
        </xdr:cNvPr>
        <xdr:cNvSpPr/>
      </xdr:nvSpPr>
      <xdr:spPr>
        <a:xfrm>
          <a:off x="11515725" y="1712309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1647825</xdr:colOff>
      <xdr:row>129</xdr:row>
      <xdr:rowOff>1390650</xdr:rowOff>
    </xdr:from>
    <xdr:to>
      <xdr:col>5</xdr:col>
      <xdr:colOff>1882287</xdr:colOff>
      <xdr:row>129</xdr:row>
      <xdr:rowOff>1617784</xdr:rowOff>
    </xdr:to>
    <xdr:sp macro="" textlink="">
      <xdr:nvSpPr>
        <xdr:cNvPr id="1022" name="Organigramme : Jonction de sommaire 1021">
          <a:extLst>
            <a:ext uri="{FF2B5EF4-FFF2-40B4-BE49-F238E27FC236}">
              <a16:creationId xmlns:a16="http://schemas.microsoft.com/office/drawing/2014/main" id="{00000000-0008-0000-0A00-0000FE030000}"/>
            </a:ext>
          </a:extLst>
        </xdr:cNvPr>
        <xdr:cNvSpPr/>
      </xdr:nvSpPr>
      <xdr:spPr>
        <a:xfrm>
          <a:off x="12325350" y="1793652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809625</xdr:colOff>
      <xdr:row>129</xdr:row>
      <xdr:rowOff>1381125</xdr:rowOff>
    </xdr:from>
    <xdr:to>
      <xdr:col>5</xdr:col>
      <xdr:colOff>1044087</xdr:colOff>
      <xdr:row>129</xdr:row>
      <xdr:rowOff>1608259</xdr:rowOff>
    </xdr:to>
    <xdr:sp macro="" textlink="">
      <xdr:nvSpPr>
        <xdr:cNvPr id="1023" name="Organigramme : Jonction de sommaire 1022">
          <a:extLst>
            <a:ext uri="{FF2B5EF4-FFF2-40B4-BE49-F238E27FC236}">
              <a16:creationId xmlns:a16="http://schemas.microsoft.com/office/drawing/2014/main" id="{00000000-0008-0000-0A00-0000FF030000}"/>
            </a:ext>
          </a:extLst>
        </xdr:cNvPr>
        <xdr:cNvSpPr/>
      </xdr:nvSpPr>
      <xdr:spPr>
        <a:xfrm>
          <a:off x="11487150" y="17935575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1590675</xdr:colOff>
      <xdr:row>132</xdr:row>
      <xdr:rowOff>1381125</xdr:rowOff>
    </xdr:from>
    <xdr:to>
      <xdr:col>5</xdr:col>
      <xdr:colOff>1825137</xdr:colOff>
      <xdr:row>132</xdr:row>
      <xdr:rowOff>1608259</xdr:rowOff>
    </xdr:to>
    <xdr:sp macro="" textlink="">
      <xdr:nvSpPr>
        <xdr:cNvPr id="1024" name="Organigramme : Jonction de sommaire 1023">
          <a:extLst>
            <a:ext uri="{FF2B5EF4-FFF2-40B4-BE49-F238E27FC236}">
              <a16:creationId xmlns:a16="http://schemas.microsoft.com/office/drawing/2014/main" id="{00000000-0008-0000-0A00-000000040000}"/>
            </a:ext>
          </a:extLst>
        </xdr:cNvPr>
        <xdr:cNvSpPr/>
      </xdr:nvSpPr>
      <xdr:spPr>
        <a:xfrm>
          <a:off x="12268200" y="18747105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838200</xdr:colOff>
      <xdr:row>132</xdr:row>
      <xdr:rowOff>1371600</xdr:rowOff>
    </xdr:from>
    <xdr:to>
      <xdr:col>5</xdr:col>
      <xdr:colOff>1072662</xdr:colOff>
      <xdr:row>132</xdr:row>
      <xdr:rowOff>1598734</xdr:rowOff>
    </xdr:to>
    <xdr:sp macro="" textlink="">
      <xdr:nvSpPr>
        <xdr:cNvPr id="1025" name="Organigramme : Jonction de sommaire 1024">
          <a:extLst>
            <a:ext uri="{FF2B5EF4-FFF2-40B4-BE49-F238E27FC236}">
              <a16:creationId xmlns:a16="http://schemas.microsoft.com/office/drawing/2014/main" id="{00000000-0008-0000-0A00-000001040000}"/>
            </a:ext>
          </a:extLst>
        </xdr:cNvPr>
        <xdr:cNvSpPr/>
      </xdr:nvSpPr>
      <xdr:spPr>
        <a:xfrm>
          <a:off x="11515725" y="1874615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5</xdr:col>
      <xdr:colOff>381000</xdr:colOff>
      <xdr:row>144</xdr:row>
      <xdr:rowOff>130126</xdr:rowOff>
    </xdr:from>
    <xdr:to>
      <xdr:col>5</xdr:col>
      <xdr:colOff>2555344</xdr:colOff>
      <xdr:row>144</xdr:row>
      <xdr:rowOff>1936750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187344001"/>
          <a:ext cx="2174344" cy="1806624"/>
        </a:xfrm>
        <a:prstGeom prst="rect">
          <a:avLst/>
        </a:prstGeom>
      </xdr:spPr>
    </xdr:pic>
    <xdr:clientData/>
  </xdr:twoCellAnchor>
  <xdr:twoCellAnchor editAs="oneCell">
    <xdr:from>
      <xdr:col>5</xdr:col>
      <xdr:colOff>271250</xdr:colOff>
      <xdr:row>143</xdr:row>
      <xdr:rowOff>132125</xdr:rowOff>
    </xdr:from>
    <xdr:to>
      <xdr:col>5</xdr:col>
      <xdr:colOff>2476500</xdr:colOff>
      <xdr:row>143</xdr:row>
      <xdr:rowOff>1924882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181250000"/>
          <a:ext cx="2205250" cy="1792757"/>
        </a:xfrm>
        <a:prstGeom prst="rect">
          <a:avLst/>
        </a:prstGeom>
      </xdr:spPr>
    </xdr:pic>
    <xdr:clientData/>
  </xdr:twoCellAnchor>
  <xdr:twoCellAnchor editAs="oneCell">
    <xdr:from>
      <xdr:col>5</xdr:col>
      <xdr:colOff>314467</xdr:colOff>
      <xdr:row>145</xdr:row>
      <xdr:rowOff>90125</xdr:rowOff>
    </xdr:from>
    <xdr:to>
      <xdr:col>5</xdr:col>
      <xdr:colOff>2545598</xdr:colOff>
      <xdr:row>145</xdr:row>
      <xdr:rowOff>1905000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189336000"/>
          <a:ext cx="2231131" cy="1814875"/>
        </a:xfrm>
        <a:prstGeom prst="rect">
          <a:avLst/>
        </a:prstGeom>
      </xdr:spPr>
    </xdr:pic>
    <xdr:clientData/>
  </xdr:twoCellAnchor>
  <xdr:twoCellAnchor editAs="oneCell">
    <xdr:from>
      <xdr:col>5</xdr:col>
      <xdr:colOff>216250</xdr:colOff>
      <xdr:row>141</xdr:row>
      <xdr:rowOff>57625</xdr:rowOff>
    </xdr:from>
    <xdr:to>
      <xdr:col>5</xdr:col>
      <xdr:colOff>2524125</xdr:colOff>
      <xdr:row>141</xdr:row>
      <xdr:rowOff>1919661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181175500"/>
          <a:ext cx="2307875" cy="1862036"/>
        </a:xfrm>
        <a:prstGeom prst="rect">
          <a:avLst/>
        </a:prstGeom>
      </xdr:spPr>
    </xdr:pic>
    <xdr:clientData/>
  </xdr:twoCellAnchor>
  <xdr:twoCellAnchor editAs="oneCell">
    <xdr:from>
      <xdr:col>5</xdr:col>
      <xdr:colOff>261125</xdr:colOff>
      <xdr:row>140</xdr:row>
      <xdr:rowOff>127125</xdr:rowOff>
    </xdr:from>
    <xdr:to>
      <xdr:col>5</xdr:col>
      <xdr:colOff>2508250</xdr:colOff>
      <xdr:row>140</xdr:row>
      <xdr:rowOff>1924825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179213000"/>
          <a:ext cx="2247125" cy="179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266473</xdr:colOff>
      <xdr:row>142</xdr:row>
      <xdr:rowOff>103250</xdr:rowOff>
    </xdr:from>
    <xdr:to>
      <xdr:col>5</xdr:col>
      <xdr:colOff>2505791</xdr:colOff>
      <xdr:row>142</xdr:row>
      <xdr:rowOff>1905000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183253125"/>
          <a:ext cx="2239318" cy="1801750"/>
        </a:xfrm>
        <a:prstGeom prst="rect">
          <a:avLst/>
        </a:prstGeom>
      </xdr:spPr>
    </xdr:pic>
    <xdr:clientData/>
  </xdr:twoCellAnchor>
  <xdr:oneCellAnchor>
    <xdr:from>
      <xdr:col>5</xdr:col>
      <xdr:colOff>381000</xdr:colOff>
      <xdr:row>150</xdr:row>
      <xdr:rowOff>130126</xdr:rowOff>
    </xdr:from>
    <xdr:ext cx="2174344" cy="1806624"/>
    <xdr:pic>
      <xdr:nvPicPr>
        <xdr:cNvPr id="858" name="Image 857">
          <a:extLst>
            <a:ext uri="{FF2B5EF4-FFF2-40B4-BE49-F238E27FC236}">
              <a16:creationId xmlns:a16="http://schemas.microsoft.com/office/drawing/2014/main" id="{00000000-0008-0000-0A00-00005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183661001"/>
          <a:ext cx="2174344" cy="1806624"/>
        </a:xfrm>
        <a:prstGeom prst="rect">
          <a:avLst/>
        </a:prstGeom>
      </xdr:spPr>
    </xdr:pic>
    <xdr:clientData/>
  </xdr:oneCellAnchor>
  <xdr:oneCellAnchor>
    <xdr:from>
      <xdr:col>5</xdr:col>
      <xdr:colOff>271250</xdr:colOff>
      <xdr:row>149</xdr:row>
      <xdr:rowOff>132125</xdr:rowOff>
    </xdr:from>
    <xdr:ext cx="2205250" cy="1792757"/>
    <xdr:pic>
      <xdr:nvPicPr>
        <xdr:cNvPr id="859" name="Image 858">
          <a:extLst>
            <a:ext uri="{FF2B5EF4-FFF2-40B4-BE49-F238E27FC236}">
              <a16:creationId xmlns:a16="http://schemas.microsoft.com/office/drawing/2014/main" id="{00000000-0008-0000-0A00-00005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181631000"/>
          <a:ext cx="2205250" cy="1792757"/>
        </a:xfrm>
        <a:prstGeom prst="rect">
          <a:avLst/>
        </a:prstGeom>
      </xdr:spPr>
    </xdr:pic>
    <xdr:clientData/>
  </xdr:oneCellAnchor>
  <xdr:oneCellAnchor>
    <xdr:from>
      <xdr:col>5</xdr:col>
      <xdr:colOff>314467</xdr:colOff>
      <xdr:row>151</xdr:row>
      <xdr:rowOff>90125</xdr:rowOff>
    </xdr:from>
    <xdr:ext cx="2231131" cy="1814875"/>
    <xdr:pic>
      <xdr:nvPicPr>
        <xdr:cNvPr id="860" name="Image 859">
          <a:extLst>
            <a:ext uri="{FF2B5EF4-FFF2-40B4-BE49-F238E27FC236}">
              <a16:creationId xmlns:a16="http://schemas.microsoft.com/office/drawing/2014/main" id="{00000000-0008-0000-0A00-00005C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185653000"/>
          <a:ext cx="2231131" cy="1814875"/>
        </a:xfrm>
        <a:prstGeom prst="rect">
          <a:avLst/>
        </a:prstGeom>
      </xdr:spPr>
    </xdr:pic>
    <xdr:clientData/>
  </xdr:oneCellAnchor>
  <xdr:oneCellAnchor>
    <xdr:from>
      <xdr:col>5</xdr:col>
      <xdr:colOff>216250</xdr:colOff>
      <xdr:row>147</xdr:row>
      <xdr:rowOff>57625</xdr:rowOff>
    </xdr:from>
    <xdr:ext cx="2307875" cy="1862036"/>
    <xdr:pic>
      <xdr:nvPicPr>
        <xdr:cNvPr id="861" name="Image 860">
          <a:extLst>
            <a:ext uri="{FF2B5EF4-FFF2-40B4-BE49-F238E27FC236}">
              <a16:creationId xmlns:a16="http://schemas.microsoft.com/office/drawing/2014/main" id="{00000000-0008-0000-0A00-00005D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177492500"/>
          <a:ext cx="2307875" cy="1862036"/>
        </a:xfrm>
        <a:prstGeom prst="rect">
          <a:avLst/>
        </a:prstGeom>
      </xdr:spPr>
    </xdr:pic>
    <xdr:clientData/>
  </xdr:oneCellAnchor>
  <xdr:oneCellAnchor>
    <xdr:from>
      <xdr:col>5</xdr:col>
      <xdr:colOff>261125</xdr:colOff>
      <xdr:row>146</xdr:row>
      <xdr:rowOff>127125</xdr:rowOff>
    </xdr:from>
    <xdr:ext cx="2247125" cy="1797700"/>
    <xdr:pic>
      <xdr:nvPicPr>
        <xdr:cNvPr id="862" name="Image 861">
          <a:extLst>
            <a:ext uri="{FF2B5EF4-FFF2-40B4-BE49-F238E27FC236}">
              <a16:creationId xmlns:a16="http://schemas.microsoft.com/office/drawing/2014/main" id="{00000000-0008-0000-0A00-00005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175530000"/>
          <a:ext cx="2247125" cy="1797700"/>
        </a:xfrm>
        <a:prstGeom prst="rect">
          <a:avLst/>
        </a:prstGeom>
      </xdr:spPr>
    </xdr:pic>
    <xdr:clientData/>
  </xdr:oneCellAnchor>
  <xdr:oneCellAnchor>
    <xdr:from>
      <xdr:col>5</xdr:col>
      <xdr:colOff>266473</xdr:colOff>
      <xdr:row>148</xdr:row>
      <xdr:rowOff>103250</xdr:rowOff>
    </xdr:from>
    <xdr:ext cx="2239318" cy="1801750"/>
    <xdr:pic>
      <xdr:nvPicPr>
        <xdr:cNvPr id="863" name="Image 862">
          <a:extLst>
            <a:ext uri="{FF2B5EF4-FFF2-40B4-BE49-F238E27FC236}">
              <a16:creationId xmlns:a16="http://schemas.microsoft.com/office/drawing/2014/main" id="{00000000-0008-0000-0A00-00005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179570125"/>
          <a:ext cx="2239318" cy="1801750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162</xdr:row>
      <xdr:rowOff>130126</xdr:rowOff>
    </xdr:from>
    <xdr:ext cx="2174344" cy="1806624"/>
    <xdr:pic>
      <xdr:nvPicPr>
        <xdr:cNvPr id="864" name="Image 863">
          <a:extLst>
            <a:ext uri="{FF2B5EF4-FFF2-40B4-BE49-F238E27FC236}">
              <a16:creationId xmlns:a16="http://schemas.microsoft.com/office/drawing/2014/main" id="{00000000-0008-0000-0A00-00006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183661001"/>
          <a:ext cx="2174344" cy="1806624"/>
        </a:xfrm>
        <a:prstGeom prst="rect">
          <a:avLst/>
        </a:prstGeom>
      </xdr:spPr>
    </xdr:pic>
    <xdr:clientData/>
  </xdr:oneCellAnchor>
  <xdr:oneCellAnchor>
    <xdr:from>
      <xdr:col>5</xdr:col>
      <xdr:colOff>271250</xdr:colOff>
      <xdr:row>161</xdr:row>
      <xdr:rowOff>132125</xdr:rowOff>
    </xdr:from>
    <xdr:ext cx="2205250" cy="1792757"/>
    <xdr:pic>
      <xdr:nvPicPr>
        <xdr:cNvPr id="865" name="Image 864">
          <a:extLst>
            <a:ext uri="{FF2B5EF4-FFF2-40B4-BE49-F238E27FC236}">
              <a16:creationId xmlns:a16="http://schemas.microsoft.com/office/drawing/2014/main" id="{00000000-0008-0000-0A00-00006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181631000"/>
          <a:ext cx="2205250" cy="1792757"/>
        </a:xfrm>
        <a:prstGeom prst="rect">
          <a:avLst/>
        </a:prstGeom>
      </xdr:spPr>
    </xdr:pic>
    <xdr:clientData/>
  </xdr:oneCellAnchor>
  <xdr:oneCellAnchor>
    <xdr:from>
      <xdr:col>5</xdr:col>
      <xdr:colOff>314467</xdr:colOff>
      <xdr:row>163</xdr:row>
      <xdr:rowOff>90125</xdr:rowOff>
    </xdr:from>
    <xdr:ext cx="2231131" cy="1814875"/>
    <xdr:pic>
      <xdr:nvPicPr>
        <xdr:cNvPr id="866" name="Image 865">
          <a:extLst>
            <a:ext uri="{FF2B5EF4-FFF2-40B4-BE49-F238E27FC236}">
              <a16:creationId xmlns:a16="http://schemas.microsoft.com/office/drawing/2014/main" id="{00000000-0008-0000-0A00-00006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185653000"/>
          <a:ext cx="2231131" cy="1814875"/>
        </a:xfrm>
        <a:prstGeom prst="rect">
          <a:avLst/>
        </a:prstGeom>
      </xdr:spPr>
    </xdr:pic>
    <xdr:clientData/>
  </xdr:oneCellAnchor>
  <xdr:oneCellAnchor>
    <xdr:from>
      <xdr:col>5</xdr:col>
      <xdr:colOff>216250</xdr:colOff>
      <xdr:row>159</xdr:row>
      <xdr:rowOff>57625</xdr:rowOff>
    </xdr:from>
    <xdr:ext cx="2307875" cy="1862036"/>
    <xdr:pic>
      <xdr:nvPicPr>
        <xdr:cNvPr id="867" name="Image 866">
          <a:extLst>
            <a:ext uri="{FF2B5EF4-FFF2-40B4-BE49-F238E27FC236}">
              <a16:creationId xmlns:a16="http://schemas.microsoft.com/office/drawing/2014/main" id="{00000000-0008-0000-0A00-000063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177492500"/>
          <a:ext cx="2307875" cy="1862036"/>
        </a:xfrm>
        <a:prstGeom prst="rect">
          <a:avLst/>
        </a:prstGeom>
      </xdr:spPr>
    </xdr:pic>
    <xdr:clientData/>
  </xdr:oneCellAnchor>
  <xdr:oneCellAnchor>
    <xdr:from>
      <xdr:col>5</xdr:col>
      <xdr:colOff>261125</xdr:colOff>
      <xdr:row>158</xdr:row>
      <xdr:rowOff>127125</xdr:rowOff>
    </xdr:from>
    <xdr:ext cx="2247125" cy="1797700"/>
    <xdr:pic>
      <xdr:nvPicPr>
        <xdr:cNvPr id="875" name="Image 874">
          <a:extLst>
            <a:ext uri="{FF2B5EF4-FFF2-40B4-BE49-F238E27FC236}">
              <a16:creationId xmlns:a16="http://schemas.microsoft.com/office/drawing/2014/main" id="{00000000-0008-0000-0A00-00006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175530000"/>
          <a:ext cx="2247125" cy="1797700"/>
        </a:xfrm>
        <a:prstGeom prst="rect">
          <a:avLst/>
        </a:prstGeom>
      </xdr:spPr>
    </xdr:pic>
    <xdr:clientData/>
  </xdr:oneCellAnchor>
  <xdr:oneCellAnchor>
    <xdr:from>
      <xdr:col>5</xdr:col>
      <xdr:colOff>266473</xdr:colOff>
      <xdr:row>160</xdr:row>
      <xdr:rowOff>103250</xdr:rowOff>
    </xdr:from>
    <xdr:ext cx="2239318" cy="1801750"/>
    <xdr:pic>
      <xdr:nvPicPr>
        <xdr:cNvPr id="890" name="Image 889">
          <a:extLst>
            <a:ext uri="{FF2B5EF4-FFF2-40B4-BE49-F238E27FC236}">
              <a16:creationId xmlns:a16="http://schemas.microsoft.com/office/drawing/2014/main" id="{00000000-0008-0000-0A00-00007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179570125"/>
          <a:ext cx="2239318" cy="1801750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168</xdr:row>
      <xdr:rowOff>130126</xdr:rowOff>
    </xdr:from>
    <xdr:ext cx="2174344" cy="1806624"/>
    <xdr:pic>
      <xdr:nvPicPr>
        <xdr:cNvPr id="891" name="Image 890">
          <a:extLst>
            <a:ext uri="{FF2B5EF4-FFF2-40B4-BE49-F238E27FC236}">
              <a16:creationId xmlns:a16="http://schemas.microsoft.com/office/drawing/2014/main" id="{00000000-0008-0000-0A00-00007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208045001"/>
          <a:ext cx="2174344" cy="1806624"/>
        </a:xfrm>
        <a:prstGeom prst="rect">
          <a:avLst/>
        </a:prstGeom>
      </xdr:spPr>
    </xdr:pic>
    <xdr:clientData/>
  </xdr:oneCellAnchor>
  <xdr:oneCellAnchor>
    <xdr:from>
      <xdr:col>5</xdr:col>
      <xdr:colOff>271250</xdr:colOff>
      <xdr:row>167</xdr:row>
      <xdr:rowOff>132125</xdr:rowOff>
    </xdr:from>
    <xdr:ext cx="2205250" cy="1792757"/>
    <xdr:pic>
      <xdr:nvPicPr>
        <xdr:cNvPr id="894" name="Image 893">
          <a:extLst>
            <a:ext uri="{FF2B5EF4-FFF2-40B4-BE49-F238E27FC236}">
              <a16:creationId xmlns:a16="http://schemas.microsoft.com/office/drawing/2014/main" id="{00000000-0008-0000-0A00-00007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206015000"/>
          <a:ext cx="2205250" cy="1792757"/>
        </a:xfrm>
        <a:prstGeom prst="rect">
          <a:avLst/>
        </a:prstGeom>
      </xdr:spPr>
    </xdr:pic>
    <xdr:clientData/>
  </xdr:oneCellAnchor>
  <xdr:oneCellAnchor>
    <xdr:from>
      <xdr:col>5</xdr:col>
      <xdr:colOff>314467</xdr:colOff>
      <xdr:row>169</xdr:row>
      <xdr:rowOff>90125</xdr:rowOff>
    </xdr:from>
    <xdr:ext cx="2231131" cy="1814875"/>
    <xdr:pic>
      <xdr:nvPicPr>
        <xdr:cNvPr id="895" name="Image 894">
          <a:extLst>
            <a:ext uri="{FF2B5EF4-FFF2-40B4-BE49-F238E27FC236}">
              <a16:creationId xmlns:a16="http://schemas.microsoft.com/office/drawing/2014/main" id="{00000000-0008-0000-0A00-00007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210037000"/>
          <a:ext cx="2231131" cy="1814875"/>
        </a:xfrm>
        <a:prstGeom prst="rect">
          <a:avLst/>
        </a:prstGeom>
      </xdr:spPr>
    </xdr:pic>
    <xdr:clientData/>
  </xdr:oneCellAnchor>
  <xdr:oneCellAnchor>
    <xdr:from>
      <xdr:col>5</xdr:col>
      <xdr:colOff>216250</xdr:colOff>
      <xdr:row>165</xdr:row>
      <xdr:rowOff>57625</xdr:rowOff>
    </xdr:from>
    <xdr:ext cx="2307875" cy="1862036"/>
    <xdr:pic>
      <xdr:nvPicPr>
        <xdr:cNvPr id="897" name="Image 896">
          <a:extLst>
            <a:ext uri="{FF2B5EF4-FFF2-40B4-BE49-F238E27FC236}">
              <a16:creationId xmlns:a16="http://schemas.microsoft.com/office/drawing/2014/main" id="{00000000-0008-0000-0A00-00008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201876500"/>
          <a:ext cx="2307875" cy="1862036"/>
        </a:xfrm>
        <a:prstGeom prst="rect">
          <a:avLst/>
        </a:prstGeom>
      </xdr:spPr>
    </xdr:pic>
    <xdr:clientData/>
  </xdr:oneCellAnchor>
  <xdr:oneCellAnchor>
    <xdr:from>
      <xdr:col>5</xdr:col>
      <xdr:colOff>261125</xdr:colOff>
      <xdr:row>164</xdr:row>
      <xdr:rowOff>127125</xdr:rowOff>
    </xdr:from>
    <xdr:ext cx="2247125" cy="1797700"/>
    <xdr:pic>
      <xdr:nvPicPr>
        <xdr:cNvPr id="898" name="Image 897">
          <a:extLst>
            <a:ext uri="{FF2B5EF4-FFF2-40B4-BE49-F238E27FC236}">
              <a16:creationId xmlns:a16="http://schemas.microsoft.com/office/drawing/2014/main" id="{00000000-0008-0000-0A00-00008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199914000"/>
          <a:ext cx="2247125" cy="1797700"/>
        </a:xfrm>
        <a:prstGeom prst="rect">
          <a:avLst/>
        </a:prstGeom>
      </xdr:spPr>
    </xdr:pic>
    <xdr:clientData/>
  </xdr:oneCellAnchor>
  <xdr:oneCellAnchor>
    <xdr:from>
      <xdr:col>5</xdr:col>
      <xdr:colOff>266473</xdr:colOff>
      <xdr:row>166</xdr:row>
      <xdr:rowOff>103250</xdr:rowOff>
    </xdr:from>
    <xdr:ext cx="2239318" cy="1801750"/>
    <xdr:pic>
      <xdr:nvPicPr>
        <xdr:cNvPr id="916" name="Image 915">
          <a:extLst>
            <a:ext uri="{FF2B5EF4-FFF2-40B4-BE49-F238E27FC236}">
              <a16:creationId xmlns:a16="http://schemas.microsoft.com/office/drawing/2014/main" id="{00000000-0008-0000-0A00-00009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203954125"/>
          <a:ext cx="2239318" cy="1801750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174</xdr:row>
      <xdr:rowOff>130126</xdr:rowOff>
    </xdr:from>
    <xdr:ext cx="2174344" cy="1806624"/>
    <xdr:pic>
      <xdr:nvPicPr>
        <xdr:cNvPr id="917" name="Image 916">
          <a:extLst>
            <a:ext uri="{FF2B5EF4-FFF2-40B4-BE49-F238E27FC236}">
              <a16:creationId xmlns:a16="http://schemas.microsoft.com/office/drawing/2014/main" id="{00000000-0008-0000-0A00-00009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220237001"/>
          <a:ext cx="2174344" cy="1806624"/>
        </a:xfrm>
        <a:prstGeom prst="rect">
          <a:avLst/>
        </a:prstGeom>
      </xdr:spPr>
    </xdr:pic>
    <xdr:clientData/>
  </xdr:oneCellAnchor>
  <xdr:oneCellAnchor>
    <xdr:from>
      <xdr:col>5</xdr:col>
      <xdr:colOff>271250</xdr:colOff>
      <xdr:row>173</xdr:row>
      <xdr:rowOff>132125</xdr:rowOff>
    </xdr:from>
    <xdr:ext cx="2205250" cy="1792757"/>
    <xdr:pic>
      <xdr:nvPicPr>
        <xdr:cNvPr id="918" name="Image 917">
          <a:extLst>
            <a:ext uri="{FF2B5EF4-FFF2-40B4-BE49-F238E27FC236}">
              <a16:creationId xmlns:a16="http://schemas.microsoft.com/office/drawing/2014/main" id="{00000000-0008-0000-0A00-00009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218207000"/>
          <a:ext cx="2205250" cy="1792757"/>
        </a:xfrm>
        <a:prstGeom prst="rect">
          <a:avLst/>
        </a:prstGeom>
      </xdr:spPr>
    </xdr:pic>
    <xdr:clientData/>
  </xdr:oneCellAnchor>
  <xdr:oneCellAnchor>
    <xdr:from>
      <xdr:col>5</xdr:col>
      <xdr:colOff>314467</xdr:colOff>
      <xdr:row>175</xdr:row>
      <xdr:rowOff>90125</xdr:rowOff>
    </xdr:from>
    <xdr:ext cx="2231131" cy="1814875"/>
    <xdr:pic>
      <xdr:nvPicPr>
        <xdr:cNvPr id="919" name="Image 918">
          <a:extLst>
            <a:ext uri="{FF2B5EF4-FFF2-40B4-BE49-F238E27FC236}">
              <a16:creationId xmlns:a16="http://schemas.microsoft.com/office/drawing/2014/main" id="{00000000-0008-0000-0A00-000097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222229000"/>
          <a:ext cx="2231131" cy="1814875"/>
        </a:xfrm>
        <a:prstGeom prst="rect">
          <a:avLst/>
        </a:prstGeom>
      </xdr:spPr>
    </xdr:pic>
    <xdr:clientData/>
  </xdr:oneCellAnchor>
  <xdr:oneCellAnchor>
    <xdr:from>
      <xdr:col>5</xdr:col>
      <xdr:colOff>216250</xdr:colOff>
      <xdr:row>171</xdr:row>
      <xdr:rowOff>57625</xdr:rowOff>
    </xdr:from>
    <xdr:ext cx="2307875" cy="1862036"/>
    <xdr:pic>
      <xdr:nvPicPr>
        <xdr:cNvPr id="920" name="Image 919">
          <a:extLst>
            <a:ext uri="{FF2B5EF4-FFF2-40B4-BE49-F238E27FC236}">
              <a16:creationId xmlns:a16="http://schemas.microsoft.com/office/drawing/2014/main" id="{00000000-0008-0000-0A00-00009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214068500"/>
          <a:ext cx="2307875" cy="1862036"/>
        </a:xfrm>
        <a:prstGeom prst="rect">
          <a:avLst/>
        </a:prstGeom>
      </xdr:spPr>
    </xdr:pic>
    <xdr:clientData/>
  </xdr:oneCellAnchor>
  <xdr:oneCellAnchor>
    <xdr:from>
      <xdr:col>5</xdr:col>
      <xdr:colOff>261125</xdr:colOff>
      <xdr:row>170</xdr:row>
      <xdr:rowOff>127125</xdr:rowOff>
    </xdr:from>
    <xdr:ext cx="2247125" cy="1797700"/>
    <xdr:pic>
      <xdr:nvPicPr>
        <xdr:cNvPr id="921" name="Image 920">
          <a:extLst>
            <a:ext uri="{FF2B5EF4-FFF2-40B4-BE49-F238E27FC236}">
              <a16:creationId xmlns:a16="http://schemas.microsoft.com/office/drawing/2014/main" id="{00000000-0008-0000-0A00-00009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212106000"/>
          <a:ext cx="2247125" cy="1797700"/>
        </a:xfrm>
        <a:prstGeom prst="rect">
          <a:avLst/>
        </a:prstGeom>
      </xdr:spPr>
    </xdr:pic>
    <xdr:clientData/>
  </xdr:oneCellAnchor>
  <xdr:oneCellAnchor>
    <xdr:from>
      <xdr:col>5</xdr:col>
      <xdr:colOff>266473</xdr:colOff>
      <xdr:row>172</xdr:row>
      <xdr:rowOff>103250</xdr:rowOff>
    </xdr:from>
    <xdr:ext cx="2239318" cy="1801750"/>
    <xdr:pic>
      <xdr:nvPicPr>
        <xdr:cNvPr id="922" name="Image 921">
          <a:extLst>
            <a:ext uri="{FF2B5EF4-FFF2-40B4-BE49-F238E27FC236}">
              <a16:creationId xmlns:a16="http://schemas.microsoft.com/office/drawing/2014/main" id="{00000000-0008-0000-0A00-00009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216146125"/>
          <a:ext cx="2239318" cy="1801750"/>
        </a:xfrm>
        <a:prstGeom prst="rect">
          <a:avLst/>
        </a:prstGeom>
      </xdr:spPr>
    </xdr:pic>
    <xdr:clientData/>
  </xdr:oneCellAnchor>
  <xdr:twoCellAnchor>
    <xdr:from>
      <xdr:col>5</xdr:col>
      <xdr:colOff>301625</xdr:colOff>
      <xdr:row>176</xdr:row>
      <xdr:rowOff>365125</xdr:rowOff>
    </xdr:from>
    <xdr:to>
      <xdr:col>5</xdr:col>
      <xdr:colOff>2369910</xdr:colOff>
      <xdr:row>176</xdr:row>
      <xdr:rowOff>1685018</xdr:rowOff>
    </xdr:to>
    <xdr:sp macro="" textlink="">
      <xdr:nvSpPr>
        <xdr:cNvPr id="840" name="ZoneTexte 839">
          <a:extLst>
            <a:ext uri="{FF2B5EF4-FFF2-40B4-BE49-F238E27FC236}">
              <a16:creationId xmlns:a16="http://schemas.microsoft.com/office/drawing/2014/main" id="{00000000-0008-0000-0A00-000048030000}"/>
            </a:ext>
          </a:extLst>
        </xdr:cNvPr>
        <xdr:cNvSpPr txBox="1"/>
      </xdr:nvSpPr>
      <xdr:spPr>
        <a:xfrm>
          <a:off x="10969625" y="236728000"/>
          <a:ext cx="2068285" cy="131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fr-FR" sz="2000" b="1"/>
        </a:p>
      </xdr:txBody>
    </xdr:sp>
    <xdr:clientData/>
  </xdr:twoCellAnchor>
  <xdr:oneCellAnchor>
    <xdr:from>
      <xdr:col>12</xdr:col>
      <xdr:colOff>350917</xdr:colOff>
      <xdr:row>65</xdr:row>
      <xdr:rowOff>27081</xdr:rowOff>
    </xdr:from>
    <xdr:ext cx="1959628" cy="1306418"/>
    <xdr:pic>
      <xdr:nvPicPr>
        <xdr:cNvPr id="848" name="Image 847">
          <a:extLst>
            <a:ext uri="{FF2B5EF4-FFF2-40B4-BE49-F238E27FC236}">
              <a16:creationId xmlns:a16="http://schemas.microsoft.com/office/drawing/2014/main" id="{00000000-0008-0000-0A00-00005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13654" t="9029" r="21175" b="7067"/>
        <a:stretch/>
      </xdr:blipFill>
      <xdr:spPr>
        <a:xfrm>
          <a:off x="30079500" y="56880748"/>
          <a:ext cx="1959628" cy="1306418"/>
        </a:xfrm>
        <a:prstGeom prst="rect">
          <a:avLst/>
        </a:prstGeom>
      </xdr:spPr>
    </xdr:pic>
    <xdr:clientData/>
  </xdr:oneCellAnchor>
  <xdr:oneCellAnchor>
    <xdr:from>
      <xdr:col>12</xdr:col>
      <xdr:colOff>476001</xdr:colOff>
      <xdr:row>63</xdr:row>
      <xdr:rowOff>53667</xdr:rowOff>
    </xdr:from>
    <xdr:ext cx="1898345" cy="1311584"/>
    <xdr:pic>
      <xdr:nvPicPr>
        <xdr:cNvPr id="849" name="Image 848">
          <a:extLst>
            <a:ext uri="{FF2B5EF4-FFF2-40B4-BE49-F238E27FC236}">
              <a16:creationId xmlns:a16="http://schemas.microsoft.com/office/drawing/2014/main" id="{00000000-0008-0000-0A00-00005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204584" y="54134500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600751</xdr:colOff>
      <xdr:row>61</xdr:row>
      <xdr:rowOff>180670</xdr:rowOff>
    </xdr:from>
    <xdr:ext cx="1758828" cy="1078748"/>
    <xdr:pic>
      <xdr:nvPicPr>
        <xdr:cNvPr id="850" name="Image 849">
          <a:extLst>
            <a:ext uri="{FF2B5EF4-FFF2-40B4-BE49-F238E27FC236}">
              <a16:creationId xmlns:a16="http://schemas.microsoft.com/office/drawing/2014/main" id="{00000000-0008-0000-0A00-00005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329334" y="51488670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497416</xdr:colOff>
      <xdr:row>62</xdr:row>
      <xdr:rowOff>137583</xdr:rowOff>
    </xdr:from>
    <xdr:ext cx="1758828" cy="1078748"/>
    <xdr:pic>
      <xdr:nvPicPr>
        <xdr:cNvPr id="853" name="Image 852">
          <a:extLst>
            <a:ext uri="{FF2B5EF4-FFF2-40B4-BE49-F238E27FC236}">
              <a16:creationId xmlns:a16="http://schemas.microsoft.com/office/drawing/2014/main" id="{00000000-0008-0000-0A00-00005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225999" y="52832000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64</xdr:row>
      <xdr:rowOff>42333</xdr:rowOff>
    </xdr:from>
    <xdr:ext cx="1898345" cy="1311584"/>
    <xdr:pic>
      <xdr:nvPicPr>
        <xdr:cNvPr id="854" name="Image 853">
          <a:extLst>
            <a:ext uri="{FF2B5EF4-FFF2-40B4-BE49-F238E27FC236}">
              <a16:creationId xmlns:a16="http://schemas.microsoft.com/office/drawing/2014/main" id="{00000000-0008-0000-0A00-00005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162500" y="55509583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317500</xdr:colOff>
      <xdr:row>66</xdr:row>
      <xdr:rowOff>31750</xdr:rowOff>
    </xdr:from>
    <xdr:ext cx="1959628" cy="1306418"/>
    <xdr:pic>
      <xdr:nvPicPr>
        <xdr:cNvPr id="855" name="Image 854">
          <a:extLst>
            <a:ext uri="{FF2B5EF4-FFF2-40B4-BE49-F238E27FC236}">
              <a16:creationId xmlns:a16="http://schemas.microsoft.com/office/drawing/2014/main" id="{00000000-0008-0000-0A00-000057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13654" t="9029" r="21175" b="7067"/>
        <a:stretch/>
      </xdr:blipFill>
      <xdr:spPr>
        <a:xfrm>
          <a:off x="30046083" y="58271833"/>
          <a:ext cx="1959628" cy="1306418"/>
        </a:xfrm>
        <a:prstGeom prst="rect">
          <a:avLst/>
        </a:prstGeom>
      </xdr:spPr>
    </xdr:pic>
    <xdr:clientData/>
  </xdr:oneCellAnchor>
  <xdr:oneCellAnchor>
    <xdr:from>
      <xdr:col>12</xdr:col>
      <xdr:colOff>350917</xdr:colOff>
      <xdr:row>55</xdr:row>
      <xdr:rowOff>27081</xdr:rowOff>
    </xdr:from>
    <xdr:ext cx="1959628" cy="1306418"/>
    <xdr:pic>
      <xdr:nvPicPr>
        <xdr:cNvPr id="856" name="Image 855">
          <a:extLst>
            <a:ext uri="{FF2B5EF4-FFF2-40B4-BE49-F238E27FC236}">
              <a16:creationId xmlns:a16="http://schemas.microsoft.com/office/drawing/2014/main" id="{00000000-0008-0000-0A00-00005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13654" t="9029" r="21175" b="7067"/>
        <a:stretch/>
      </xdr:blipFill>
      <xdr:spPr>
        <a:xfrm>
          <a:off x="30079500" y="56880748"/>
          <a:ext cx="1959628" cy="1306418"/>
        </a:xfrm>
        <a:prstGeom prst="rect">
          <a:avLst/>
        </a:prstGeom>
      </xdr:spPr>
    </xdr:pic>
    <xdr:clientData/>
  </xdr:oneCellAnchor>
  <xdr:oneCellAnchor>
    <xdr:from>
      <xdr:col>12</xdr:col>
      <xdr:colOff>476001</xdr:colOff>
      <xdr:row>53</xdr:row>
      <xdr:rowOff>53667</xdr:rowOff>
    </xdr:from>
    <xdr:ext cx="1898345" cy="1311584"/>
    <xdr:pic>
      <xdr:nvPicPr>
        <xdr:cNvPr id="857" name="Image 856">
          <a:extLst>
            <a:ext uri="{FF2B5EF4-FFF2-40B4-BE49-F238E27FC236}">
              <a16:creationId xmlns:a16="http://schemas.microsoft.com/office/drawing/2014/main" id="{00000000-0008-0000-0A00-00005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204584" y="54134500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600751</xdr:colOff>
      <xdr:row>51</xdr:row>
      <xdr:rowOff>180670</xdr:rowOff>
    </xdr:from>
    <xdr:ext cx="1758828" cy="1078748"/>
    <xdr:pic>
      <xdr:nvPicPr>
        <xdr:cNvPr id="923" name="Image 922">
          <a:extLst>
            <a:ext uri="{FF2B5EF4-FFF2-40B4-BE49-F238E27FC236}">
              <a16:creationId xmlns:a16="http://schemas.microsoft.com/office/drawing/2014/main" id="{00000000-0008-0000-0A00-00009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329334" y="51488670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497416</xdr:colOff>
      <xdr:row>52</xdr:row>
      <xdr:rowOff>137583</xdr:rowOff>
    </xdr:from>
    <xdr:ext cx="1758828" cy="1078748"/>
    <xdr:pic>
      <xdr:nvPicPr>
        <xdr:cNvPr id="926" name="Image 925">
          <a:extLst>
            <a:ext uri="{FF2B5EF4-FFF2-40B4-BE49-F238E27FC236}">
              <a16:creationId xmlns:a16="http://schemas.microsoft.com/office/drawing/2014/main" id="{00000000-0008-0000-0A00-00009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225999" y="52832000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54</xdr:row>
      <xdr:rowOff>42333</xdr:rowOff>
    </xdr:from>
    <xdr:ext cx="1898345" cy="1311584"/>
    <xdr:pic>
      <xdr:nvPicPr>
        <xdr:cNvPr id="927" name="Image 926">
          <a:extLst>
            <a:ext uri="{FF2B5EF4-FFF2-40B4-BE49-F238E27FC236}">
              <a16:creationId xmlns:a16="http://schemas.microsoft.com/office/drawing/2014/main" id="{00000000-0008-0000-0A00-00009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162500" y="55509583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317500</xdr:colOff>
      <xdr:row>56</xdr:row>
      <xdr:rowOff>31750</xdr:rowOff>
    </xdr:from>
    <xdr:ext cx="1959628" cy="1306418"/>
    <xdr:pic>
      <xdr:nvPicPr>
        <xdr:cNvPr id="928" name="Image 927">
          <a:extLst>
            <a:ext uri="{FF2B5EF4-FFF2-40B4-BE49-F238E27FC236}">
              <a16:creationId xmlns:a16="http://schemas.microsoft.com/office/drawing/2014/main" id="{00000000-0008-0000-0A00-0000A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13654" t="9029" r="21175" b="7067"/>
        <a:stretch/>
      </xdr:blipFill>
      <xdr:spPr>
        <a:xfrm>
          <a:off x="30046083" y="58271833"/>
          <a:ext cx="1959628" cy="1306418"/>
        </a:xfrm>
        <a:prstGeom prst="rect">
          <a:avLst/>
        </a:prstGeom>
      </xdr:spPr>
    </xdr:pic>
    <xdr:clientData/>
  </xdr:oneCellAnchor>
  <xdr:oneCellAnchor>
    <xdr:from>
      <xdr:col>12</xdr:col>
      <xdr:colOff>476001</xdr:colOff>
      <xdr:row>45</xdr:row>
      <xdr:rowOff>53667</xdr:rowOff>
    </xdr:from>
    <xdr:ext cx="1898345" cy="1311584"/>
    <xdr:pic>
      <xdr:nvPicPr>
        <xdr:cNvPr id="971" name="Image 970">
          <a:extLst>
            <a:ext uri="{FF2B5EF4-FFF2-40B4-BE49-F238E27FC236}">
              <a16:creationId xmlns:a16="http://schemas.microsoft.com/office/drawing/2014/main" id="{00000000-0008-0000-0A00-0000C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204584" y="43043167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600751</xdr:colOff>
      <xdr:row>43</xdr:row>
      <xdr:rowOff>180670</xdr:rowOff>
    </xdr:from>
    <xdr:ext cx="1758828" cy="1078748"/>
    <xdr:pic>
      <xdr:nvPicPr>
        <xdr:cNvPr id="972" name="Image 971">
          <a:extLst>
            <a:ext uri="{FF2B5EF4-FFF2-40B4-BE49-F238E27FC236}">
              <a16:creationId xmlns:a16="http://schemas.microsoft.com/office/drawing/2014/main" id="{00000000-0008-0000-0A00-0000CC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329334" y="40397337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497416</xdr:colOff>
      <xdr:row>44</xdr:row>
      <xdr:rowOff>137583</xdr:rowOff>
    </xdr:from>
    <xdr:ext cx="1758828" cy="1078748"/>
    <xdr:pic>
      <xdr:nvPicPr>
        <xdr:cNvPr id="979" name="Image 978">
          <a:extLst>
            <a:ext uri="{FF2B5EF4-FFF2-40B4-BE49-F238E27FC236}">
              <a16:creationId xmlns:a16="http://schemas.microsoft.com/office/drawing/2014/main" id="{00000000-0008-0000-0A00-0000D3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225999" y="41740666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46</xdr:row>
      <xdr:rowOff>42333</xdr:rowOff>
    </xdr:from>
    <xdr:ext cx="1898345" cy="1311584"/>
    <xdr:pic>
      <xdr:nvPicPr>
        <xdr:cNvPr id="980" name="Image 979">
          <a:extLst>
            <a:ext uri="{FF2B5EF4-FFF2-40B4-BE49-F238E27FC236}">
              <a16:creationId xmlns:a16="http://schemas.microsoft.com/office/drawing/2014/main" id="{00000000-0008-0000-0A00-0000D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162500" y="44418250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476001</xdr:colOff>
      <xdr:row>29</xdr:row>
      <xdr:rowOff>53667</xdr:rowOff>
    </xdr:from>
    <xdr:ext cx="1898345" cy="1311584"/>
    <xdr:pic>
      <xdr:nvPicPr>
        <xdr:cNvPr id="981" name="Image 980">
          <a:extLst>
            <a:ext uri="{FF2B5EF4-FFF2-40B4-BE49-F238E27FC236}">
              <a16:creationId xmlns:a16="http://schemas.microsoft.com/office/drawing/2014/main" id="{00000000-0008-0000-0A00-0000D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204584" y="34724667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600751</xdr:colOff>
      <xdr:row>27</xdr:row>
      <xdr:rowOff>180670</xdr:rowOff>
    </xdr:from>
    <xdr:ext cx="1758828" cy="1078748"/>
    <xdr:pic>
      <xdr:nvPicPr>
        <xdr:cNvPr id="982" name="Image 981">
          <a:extLst>
            <a:ext uri="{FF2B5EF4-FFF2-40B4-BE49-F238E27FC236}">
              <a16:creationId xmlns:a16="http://schemas.microsoft.com/office/drawing/2014/main" id="{00000000-0008-0000-0A00-0000D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329334" y="32078837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497416</xdr:colOff>
      <xdr:row>28</xdr:row>
      <xdr:rowOff>137583</xdr:rowOff>
    </xdr:from>
    <xdr:ext cx="1758828" cy="1078748"/>
    <xdr:pic>
      <xdr:nvPicPr>
        <xdr:cNvPr id="985" name="Image 984">
          <a:extLst>
            <a:ext uri="{FF2B5EF4-FFF2-40B4-BE49-F238E27FC236}">
              <a16:creationId xmlns:a16="http://schemas.microsoft.com/office/drawing/2014/main" id="{00000000-0008-0000-0A00-0000D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225999" y="33422166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30</xdr:row>
      <xdr:rowOff>42333</xdr:rowOff>
    </xdr:from>
    <xdr:ext cx="1898345" cy="1311584"/>
    <xdr:pic>
      <xdr:nvPicPr>
        <xdr:cNvPr id="986" name="Image 985">
          <a:extLst>
            <a:ext uri="{FF2B5EF4-FFF2-40B4-BE49-F238E27FC236}">
              <a16:creationId xmlns:a16="http://schemas.microsoft.com/office/drawing/2014/main" id="{00000000-0008-0000-0A00-0000D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162500" y="36099750"/>
          <a:ext cx="1898345" cy="1311584"/>
        </a:xfrm>
        <a:prstGeom prst="rect">
          <a:avLst/>
        </a:prstGeom>
      </xdr:spPr>
    </xdr:pic>
    <xdr:clientData/>
  </xdr:oneCellAnchor>
  <xdr:oneCellAnchor>
    <xdr:from>
      <xdr:col>6</xdr:col>
      <xdr:colOff>161926</xdr:colOff>
      <xdr:row>19</xdr:row>
      <xdr:rowOff>266700</xdr:rowOff>
    </xdr:from>
    <xdr:ext cx="2381250" cy="878890"/>
    <xdr:pic>
      <xdr:nvPicPr>
        <xdr:cNvPr id="987" name="Image 986">
          <a:extLst>
            <a:ext uri="{FF2B5EF4-FFF2-40B4-BE49-F238E27FC236}">
              <a16:creationId xmlns:a16="http://schemas.microsoft.com/office/drawing/2014/main" id="{00000000-0008-0000-0A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1009" y="15527867"/>
          <a:ext cx="2381250" cy="878890"/>
        </a:xfrm>
        <a:prstGeom prst="rect">
          <a:avLst/>
        </a:prstGeom>
      </xdr:spPr>
    </xdr:pic>
    <xdr:clientData/>
  </xdr:oneCellAnchor>
  <xdr:oneCellAnchor>
    <xdr:from>
      <xdr:col>6</xdr:col>
      <xdr:colOff>171450</xdr:colOff>
      <xdr:row>20</xdr:row>
      <xdr:rowOff>276225</xdr:rowOff>
    </xdr:from>
    <xdr:ext cx="2381250" cy="878890"/>
    <xdr:pic>
      <xdr:nvPicPr>
        <xdr:cNvPr id="988" name="Image 987">
          <a:extLst>
            <a:ext uri="{FF2B5EF4-FFF2-40B4-BE49-F238E27FC236}">
              <a16:creationId xmlns:a16="http://schemas.microsoft.com/office/drawing/2014/main" id="{00000000-0008-0000-0A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0533" y="16923808"/>
          <a:ext cx="2381250" cy="878890"/>
        </a:xfrm>
        <a:prstGeom prst="rect">
          <a:avLst/>
        </a:prstGeom>
      </xdr:spPr>
    </xdr:pic>
    <xdr:clientData/>
  </xdr:oneCellAnchor>
  <xdr:oneCellAnchor>
    <xdr:from>
      <xdr:col>12</xdr:col>
      <xdr:colOff>463168</xdr:colOff>
      <xdr:row>22</xdr:row>
      <xdr:rowOff>159502</xdr:rowOff>
    </xdr:from>
    <xdr:ext cx="1758828" cy="1078748"/>
    <xdr:pic>
      <xdr:nvPicPr>
        <xdr:cNvPr id="989" name="Image 988">
          <a:extLst>
            <a:ext uri="{FF2B5EF4-FFF2-40B4-BE49-F238E27FC236}">
              <a16:creationId xmlns:a16="http://schemas.microsoft.com/office/drawing/2014/main" id="{00000000-0008-0000-0A00-0000DD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191751" y="22352752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566584</xdr:colOff>
      <xdr:row>19</xdr:row>
      <xdr:rowOff>276750</xdr:rowOff>
    </xdr:from>
    <xdr:ext cx="1518333" cy="980590"/>
    <xdr:pic>
      <xdr:nvPicPr>
        <xdr:cNvPr id="990" name="Image 989">
          <a:extLst>
            <a:ext uri="{FF2B5EF4-FFF2-40B4-BE49-F238E27FC236}">
              <a16:creationId xmlns:a16="http://schemas.microsoft.com/office/drawing/2014/main" id="{00000000-0008-0000-0A00-0000D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295167" y="15537917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21</xdr:row>
      <xdr:rowOff>190500</xdr:rowOff>
    </xdr:from>
    <xdr:ext cx="1758828" cy="1078748"/>
    <xdr:pic>
      <xdr:nvPicPr>
        <xdr:cNvPr id="1026" name="Image 1025">
          <a:extLst>
            <a:ext uri="{FF2B5EF4-FFF2-40B4-BE49-F238E27FC236}">
              <a16:creationId xmlns:a16="http://schemas.microsoft.com/office/drawing/2014/main" id="{00000000-0008-0000-0A00-00000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162500" y="20997333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582084</xdr:colOff>
      <xdr:row>20</xdr:row>
      <xdr:rowOff>201083</xdr:rowOff>
    </xdr:from>
    <xdr:ext cx="1518333" cy="980590"/>
    <xdr:pic>
      <xdr:nvPicPr>
        <xdr:cNvPr id="1028" name="Image 1027">
          <a:extLst>
            <a:ext uri="{FF2B5EF4-FFF2-40B4-BE49-F238E27FC236}">
              <a16:creationId xmlns:a16="http://schemas.microsoft.com/office/drawing/2014/main" id="{00000000-0008-0000-0A00-00000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10667" y="19621500"/>
          <a:ext cx="1518333" cy="980590"/>
        </a:xfrm>
        <a:prstGeom prst="rect">
          <a:avLst/>
        </a:prstGeom>
      </xdr:spPr>
    </xdr:pic>
    <xdr:clientData/>
  </xdr:oneCellAnchor>
  <xdr:oneCellAnchor>
    <xdr:from>
      <xdr:col>6</xdr:col>
      <xdr:colOff>361949</xdr:colOff>
      <xdr:row>25</xdr:row>
      <xdr:rowOff>428625</xdr:rowOff>
    </xdr:from>
    <xdr:ext cx="2143126" cy="777031"/>
    <xdr:pic>
      <xdr:nvPicPr>
        <xdr:cNvPr id="1029" name="Image 1028">
          <a:extLst>
            <a:ext uri="{FF2B5EF4-FFF2-40B4-BE49-F238E27FC236}">
              <a16:creationId xmlns:a16="http://schemas.microsoft.com/office/drawing/2014/main" id="{00000000-0008-0000-0A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32" y="24008292"/>
          <a:ext cx="2143126" cy="777031"/>
        </a:xfrm>
        <a:prstGeom prst="rect">
          <a:avLst/>
        </a:prstGeom>
      </xdr:spPr>
    </xdr:pic>
    <xdr:clientData/>
  </xdr:oneCellAnchor>
  <xdr:oneCellAnchor>
    <xdr:from>
      <xdr:col>6</xdr:col>
      <xdr:colOff>304800</xdr:colOff>
      <xdr:row>26</xdr:row>
      <xdr:rowOff>285750</xdr:rowOff>
    </xdr:from>
    <xdr:ext cx="2143126" cy="777031"/>
    <xdr:pic>
      <xdr:nvPicPr>
        <xdr:cNvPr id="1030" name="Image 1029">
          <a:extLst>
            <a:ext uri="{FF2B5EF4-FFF2-40B4-BE49-F238E27FC236}">
              <a16:creationId xmlns:a16="http://schemas.microsoft.com/office/drawing/2014/main" id="{00000000-0008-0000-0A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3883" y="25251833"/>
          <a:ext cx="2143126" cy="777031"/>
        </a:xfrm>
        <a:prstGeom prst="rect">
          <a:avLst/>
        </a:prstGeom>
      </xdr:spPr>
    </xdr:pic>
    <xdr:clientData/>
  </xdr:oneCellAnchor>
  <xdr:oneCellAnchor>
    <xdr:from>
      <xdr:col>12</xdr:col>
      <xdr:colOff>630085</xdr:colOff>
      <xdr:row>25</xdr:row>
      <xdr:rowOff>276749</xdr:rowOff>
    </xdr:from>
    <xdr:ext cx="1518333" cy="980590"/>
    <xdr:pic>
      <xdr:nvPicPr>
        <xdr:cNvPr id="1031" name="Image 1030">
          <a:extLst>
            <a:ext uri="{FF2B5EF4-FFF2-40B4-BE49-F238E27FC236}">
              <a16:creationId xmlns:a16="http://schemas.microsoft.com/office/drawing/2014/main" id="{00000000-0008-0000-0A00-00000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58668" y="23856416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613834</xdr:colOff>
      <xdr:row>26</xdr:row>
      <xdr:rowOff>201084</xdr:rowOff>
    </xdr:from>
    <xdr:ext cx="1518333" cy="980590"/>
    <xdr:pic>
      <xdr:nvPicPr>
        <xdr:cNvPr id="1032" name="Image 1031">
          <a:extLst>
            <a:ext uri="{FF2B5EF4-FFF2-40B4-BE49-F238E27FC236}">
              <a16:creationId xmlns:a16="http://schemas.microsoft.com/office/drawing/2014/main" id="{00000000-0008-0000-0A00-00000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42417" y="25167167"/>
          <a:ext cx="1518333" cy="980590"/>
        </a:xfrm>
        <a:prstGeom prst="rect">
          <a:avLst/>
        </a:prstGeom>
      </xdr:spPr>
    </xdr:pic>
    <xdr:clientData/>
  </xdr:oneCellAnchor>
  <xdr:oneCellAnchor>
    <xdr:from>
      <xdr:col>6</xdr:col>
      <xdr:colOff>257175</xdr:colOff>
      <xdr:row>42</xdr:row>
      <xdr:rowOff>314325</xdr:rowOff>
    </xdr:from>
    <xdr:ext cx="2143126" cy="777031"/>
    <xdr:pic>
      <xdr:nvPicPr>
        <xdr:cNvPr id="1033" name="Image 1032">
          <a:extLst>
            <a:ext uri="{FF2B5EF4-FFF2-40B4-BE49-F238E27FC236}">
              <a16:creationId xmlns:a16="http://schemas.microsoft.com/office/drawing/2014/main" id="{00000000-0008-0000-0A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6258" y="36371742"/>
          <a:ext cx="2143126" cy="777031"/>
        </a:xfrm>
        <a:prstGeom prst="rect">
          <a:avLst/>
        </a:prstGeom>
      </xdr:spPr>
    </xdr:pic>
    <xdr:clientData/>
  </xdr:oneCellAnchor>
  <xdr:oneCellAnchor>
    <xdr:from>
      <xdr:col>6</xdr:col>
      <xdr:colOff>295275</xdr:colOff>
      <xdr:row>41</xdr:row>
      <xdr:rowOff>276225</xdr:rowOff>
    </xdr:from>
    <xdr:ext cx="2143126" cy="777031"/>
    <xdr:pic>
      <xdr:nvPicPr>
        <xdr:cNvPr id="1034" name="Image 1033">
          <a:extLst>
            <a:ext uri="{FF2B5EF4-FFF2-40B4-BE49-F238E27FC236}">
              <a16:creationId xmlns:a16="http://schemas.microsoft.com/office/drawing/2014/main" id="{00000000-0008-0000-0A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4358" y="34947225"/>
          <a:ext cx="2143126" cy="777031"/>
        </a:xfrm>
        <a:prstGeom prst="rect">
          <a:avLst/>
        </a:prstGeom>
      </xdr:spPr>
    </xdr:pic>
    <xdr:clientData/>
  </xdr:oneCellAnchor>
  <xdr:oneCellAnchor>
    <xdr:from>
      <xdr:col>12</xdr:col>
      <xdr:colOff>630085</xdr:colOff>
      <xdr:row>41</xdr:row>
      <xdr:rowOff>276749</xdr:rowOff>
    </xdr:from>
    <xdr:ext cx="1518333" cy="980590"/>
    <xdr:pic>
      <xdr:nvPicPr>
        <xdr:cNvPr id="1035" name="Image 1034">
          <a:extLst>
            <a:ext uri="{FF2B5EF4-FFF2-40B4-BE49-F238E27FC236}">
              <a16:creationId xmlns:a16="http://schemas.microsoft.com/office/drawing/2014/main" id="{00000000-0008-0000-0A00-00000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58668" y="34947749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613834</xdr:colOff>
      <xdr:row>42</xdr:row>
      <xdr:rowOff>201084</xdr:rowOff>
    </xdr:from>
    <xdr:ext cx="1518333" cy="980590"/>
    <xdr:pic>
      <xdr:nvPicPr>
        <xdr:cNvPr id="1036" name="Image 1035">
          <a:extLst>
            <a:ext uri="{FF2B5EF4-FFF2-40B4-BE49-F238E27FC236}">
              <a16:creationId xmlns:a16="http://schemas.microsoft.com/office/drawing/2014/main" id="{00000000-0008-0000-0A00-00000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42417" y="36258501"/>
          <a:ext cx="1518333" cy="980590"/>
        </a:xfrm>
        <a:prstGeom prst="rect">
          <a:avLst/>
        </a:prstGeom>
      </xdr:spPr>
    </xdr:pic>
    <xdr:clientData/>
  </xdr:oneCellAnchor>
  <xdr:oneCellAnchor>
    <xdr:from>
      <xdr:col>6</xdr:col>
      <xdr:colOff>200025</xdr:colOff>
      <xdr:row>50</xdr:row>
      <xdr:rowOff>276225</xdr:rowOff>
    </xdr:from>
    <xdr:ext cx="2381250" cy="878890"/>
    <xdr:pic>
      <xdr:nvPicPr>
        <xdr:cNvPr id="1037" name="Image 1036">
          <a:extLst>
            <a:ext uri="{FF2B5EF4-FFF2-40B4-BE49-F238E27FC236}">
              <a16:creationId xmlns:a16="http://schemas.microsoft.com/office/drawing/2014/main" id="{00000000-0008-0000-0A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9108" y="47424975"/>
          <a:ext cx="2381250" cy="878890"/>
        </a:xfrm>
        <a:prstGeom prst="rect">
          <a:avLst/>
        </a:prstGeom>
      </xdr:spPr>
    </xdr:pic>
    <xdr:clientData/>
  </xdr:oneCellAnchor>
  <xdr:oneCellAnchor>
    <xdr:from>
      <xdr:col>6</xdr:col>
      <xdr:colOff>209550</xdr:colOff>
      <xdr:row>49</xdr:row>
      <xdr:rowOff>209550</xdr:rowOff>
    </xdr:from>
    <xdr:ext cx="2381250" cy="878890"/>
    <xdr:pic>
      <xdr:nvPicPr>
        <xdr:cNvPr id="1038" name="Image 1037">
          <a:extLst>
            <a:ext uri="{FF2B5EF4-FFF2-40B4-BE49-F238E27FC236}">
              <a16:creationId xmlns:a16="http://schemas.microsoft.com/office/drawing/2014/main" id="{00000000-0008-0000-0A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633" y="45971883"/>
          <a:ext cx="2381250" cy="878890"/>
        </a:xfrm>
        <a:prstGeom prst="rect">
          <a:avLst/>
        </a:prstGeom>
      </xdr:spPr>
    </xdr:pic>
    <xdr:clientData/>
  </xdr:oneCellAnchor>
  <xdr:oneCellAnchor>
    <xdr:from>
      <xdr:col>12</xdr:col>
      <xdr:colOff>630085</xdr:colOff>
      <xdr:row>49</xdr:row>
      <xdr:rowOff>276749</xdr:rowOff>
    </xdr:from>
    <xdr:ext cx="1518333" cy="980590"/>
    <xdr:pic>
      <xdr:nvPicPr>
        <xdr:cNvPr id="1039" name="Image 1038">
          <a:extLst>
            <a:ext uri="{FF2B5EF4-FFF2-40B4-BE49-F238E27FC236}">
              <a16:creationId xmlns:a16="http://schemas.microsoft.com/office/drawing/2014/main" id="{00000000-0008-0000-0A00-00000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58668" y="62676082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613834</xdr:colOff>
      <xdr:row>50</xdr:row>
      <xdr:rowOff>201084</xdr:rowOff>
    </xdr:from>
    <xdr:ext cx="1518333" cy="980590"/>
    <xdr:pic>
      <xdr:nvPicPr>
        <xdr:cNvPr id="1040" name="Image 1039">
          <a:extLst>
            <a:ext uri="{FF2B5EF4-FFF2-40B4-BE49-F238E27FC236}">
              <a16:creationId xmlns:a16="http://schemas.microsoft.com/office/drawing/2014/main" id="{00000000-0008-0000-0A00-00001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42417" y="47349834"/>
          <a:ext cx="1518333" cy="980590"/>
        </a:xfrm>
        <a:prstGeom prst="rect">
          <a:avLst/>
        </a:prstGeom>
      </xdr:spPr>
    </xdr:pic>
    <xdr:clientData/>
  </xdr:oneCellAnchor>
  <xdr:oneCellAnchor>
    <xdr:from>
      <xdr:col>6</xdr:col>
      <xdr:colOff>276225</xdr:colOff>
      <xdr:row>59</xdr:row>
      <xdr:rowOff>295275</xdr:rowOff>
    </xdr:from>
    <xdr:ext cx="2143126" cy="777031"/>
    <xdr:pic>
      <xdr:nvPicPr>
        <xdr:cNvPr id="1041" name="Image 1040">
          <a:extLst>
            <a:ext uri="{FF2B5EF4-FFF2-40B4-BE49-F238E27FC236}">
              <a16:creationId xmlns:a16="http://schemas.microsoft.com/office/drawing/2014/main" id="{00000000-0008-0000-0A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5308" y="59921775"/>
          <a:ext cx="2143126" cy="777031"/>
        </a:xfrm>
        <a:prstGeom prst="rect">
          <a:avLst/>
        </a:prstGeom>
      </xdr:spPr>
    </xdr:pic>
    <xdr:clientData/>
  </xdr:oneCellAnchor>
  <xdr:oneCellAnchor>
    <xdr:from>
      <xdr:col>6</xdr:col>
      <xdr:colOff>257175</xdr:colOff>
      <xdr:row>60</xdr:row>
      <xdr:rowOff>314325</xdr:rowOff>
    </xdr:from>
    <xdr:ext cx="2143126" cy="777031"/>
    <xdr:pic>
      <xdr:nvPicPr>
        <xdr:cNvPr id="1042" name="Image 1041">
          <a:extLst>
            <a:ext uri="{FF2B5EF4-FFF2-40B4-BE49-F238E27FC236}">
              <a16:creationId xmlns:a16="http://schemas.microsoft.com/office/drawing/2014/main" id="{00000000-0008-0000-0A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6258" y="61327242"/>
          <a:ext cx="2143126" cy="777031"/>
        </a:xfrm>
        <a:prstGeom prst="rect">
          <a:avLst/>
        </a:prstGeom>
      </xdr:spPr>
    </xdr:pic>
    <xdr:clientData/>
  </xdr:oneCellAnchor>
  <xdr:oneCellAnchor>
    <xdr:from>
      <xdr:col>12</xdr:col>
      <xdr:colOff>630085</xdr:colOff>
      <xdr:row>59</xdr:row>
      <xdr:rowOff>276749</xdr:rowOff>
    </xdr:from>
    <xdr:ext cx="1518333" cy="980590"/>
    <xdr:pic>
      <xdr:nvPicPr>
        <xdr:cNvPr id="1043" name="Image 1042">
          <a:extLst>
            <a:ext uri="{FF2B5EF4-FFF2-40B4-BE49-F238E27FC236}">
              <a16:creationId xmlns:a16="http://schemas.microsoft.com/office/drawing/2014/main" id="{00000000-0008-0000-0A00-00001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58668" y="59903249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613834</xdr:colOff>
      <xdr:row>60</xdr:row>
      <xdr:rowOff>201084</xdr:rowOff>
    </xdr:from>
    <xdr:ext cx="1518333" cy="980590"/>
    <xdr:pic>
      <xdr:nvPicPr>
        <xdr:cNvPr id="1044" name="Image 1043">
          <a:extLst>
            <a:ext uri="{FF2B5EF4-FFF2-40B4-BE49-F238E27FC236}">
              <a16:creationId xmlns:a16="http://schemas.microsoft.com/office/drawing/2014/main" id="{00000000-0008-0000-0A00-00001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42417" y="61214001"/>
          <a:ext cx="1518333" cy="980590"/>
        </a:xfrm>
        <a:prstGeom prst="rect">
          <a:avLst/>
        </a:prstGeom>
      </xdr:spPr>
    </xdr:pic>
    <xdr:clientData/>
  </xdr:oneCellAnchor>
  <xdr:twoCellAnchor>
    <xdr:from>
      <xdr:col>18</xdr:col>
      <xdr:colOff>835629</xdr:colOff>
      <xdr:row>12</xdr:row>
      <xdr:rowOff>233294</xdr:rowOff>
    </xdr:from>
    <xdr:to>
      <xdr:col>18</xdr:col>
      <xdr:colOff>2462527</xdr:colOff>
      <xdr:row>12</xdr:row>
      <xdr:rowOff>1151912</xdr:rowOff>
    </xdr:to>
    <xdr:pic>
      <xdr:nvPicPr>
        <xdr:cNvPr id="813" name="Image 812">
          <a:extLst>
            <a:ext uri="{FF2B5EF4-FFF2-40B4-BE49-F238E27FC236}">
              <a16:creationId xmlns:a16="http://schemas.microsoft.com/office/drawing/2014/main" id="{00000000-0008-0000-0A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9379" y="10520294"/>
          <a:ext cx="1626898" cy="918618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666750</xdr:colOff>
      <xdr:row>13</xdr:row>
      <xdr:rowOff>52920</xdr:rowOff>
    </xdr:from>
    <xdr:to>
      <xdr:col>18</xdr:col>
      <xdr:colOff>2624668</xdr:colOff>
      <xdr:row>13</xdr:row>
      <xdr:rowOff>1344084</xdr:rowOff>
    </xdr:to>
    <xdr:pic>
      <xdr:nvPicPr>
        <xdr:cNvPr id="817" name="Image 816">
          <a:extLst>
            <a:ext uri="{FF2B5EF4-FFF2-40B4-BE49-F238E27FC236}">
              <a16:creationId xmlns:a16="http://schemas.microsoft.com/office/drawing/2014/main" id="{00000000-0008-0000-0A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0500" y="11726337"/>
          <a:ext cx="1957918" cy="1291164"/>
        </a:xfrm>
        <a:prstGeom prst="rect">
          <a:avLst/>
        </a:prstGeom>
      </xdr:spPr>
    </xdr:pic>
    <xdr:clientData/>
  </xdr:twoCellAnchor>
  <xdr:oneCellAnchor>
    <xdr:from>
      <xdr:col>18</xdr:col>
      <xdr:colOff>1185333</xdr:colOff>
      <xdr:row>13</xdr:row>
      <xdr:rowOff>984249</xdr:rowOff>
    </xdr:from>
    <xdr:ext cx="243978" cy="264560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45159083" y="12657666"/>
          <a:ext cx="2439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L</a:t>
          </a:r>
        </a:p>
      </xdr:txBody>
    </xdr:sp>
    <xdr:clientData/>
  </xdr:oneCellAnchor>
  <xdr:oneCellAnchor>
    <xdr:from>
      <xdr:col>18</xdr:col>
      <xdr:colOff>1291167</xdr:colOff>
      <xdr:row>12</xdr:row>
      <xdr:rowOff>857250</xdr:rowOff>
    </xdr:from>
    <xdr:ext cx="243978" cy="264560"/>
    <xdr:sp macro="" textlink="">
      <xdr:nvSpPr>
        <xdr:cNvPr id="823" name="ZoneTexte 822">
          <a:extLst>
            <a:ext uri="{FF2B5EF4-FFF2-40B4-BE49-F238E27FC236}">
              <a16:creationId xmlns:a16="http://schemas.microsoft.com/office/drawing/2014/main" id="{00000000-0008-0000-0A00-000037030000}"/>
            </a:ext>
          </a:extLst>
        </xdr:cNvPr>
        <xdr:cNvSpPr txBox="1"/>
      </xdr:nvSpPr>
      <xdr:spPr>
        <a:xfrm>
          <a:off x="45264917" y="11144250"/>
          <a:ext cx="2439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L</a:t>
          </a:r>
        </a:p>
      </xdr:txBody>
    </xdr:sp>
    <xdr:clientData/>
  </xdr:oneCellAnchor>
  <xdr:oneCellAnchor>
    <xdr:from>
      <xdr:col>18</xdr:col>
      <xdr:colOff>952500</xdr:colOff>
      <xdr:row>12</xdr:row>
      <xdr:rowOff>137584</xdr:rowOff>
    </xdr:from>
    <xdr:ext cx="257571" cy="264560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44926250" y="10424584"/>
          <a:ext cx="2575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P</a:t>
          </a:r>
        </a:p>
      </xdr:txBody>
    </xdr:sp>
    <xdr:clientData/>
  </xdr:oneCellAnchor>
  <xdr:oneCellAnchor>
    <xdr:from>
      <xdr:col>18</xdr:col>
      <xdr:colOff>836084</xdr:colOff>
      <xdr:row>13</xdr:row>
      <xdr:rowOff>0</xdr:rowOff>
    </xdr:from>
    <xdr:ext cx="257571" cy="264560"/>
    <xdr:sp macro="" textlink="">
      <xdr:nvSpPr>
        <xdr:cNvPr id="825" name="ZoneTexte 824">
          <a:extLst>
            <a:ext uri="{FF2B5EF4-FFF2-40B4-BE49-F238E27FC236}">
              <a16:creationId xmlns:a16="http://schemas.microsoft.com/office/drawing/2014/main" id="{00000000-0008-0000-0A00-000039030000}"/>
            </a:ext>
          </a:extLst>
        </xdr:cNvPr>
        <xdr:cNvSpPr txBox="1"/>
      </xdr:nvSpPr>
      <xdr:spPr>
        <a:xfrm>
          <a:off x="44809834" y="11673417"/>
          <a:ext cx="2575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P</a:t>
          </a:r>
        </a:p>
      </xdr:txBody>
    </xdr:sp>
    <xdr:clientData/>
  </xdr:oneCellAnchor>
  <xdr:oneCellAnchor>
    <xdr:from>
      <xdr:col>18</xdr:col>
      <xdr:colOff>2317750</xdr:colOff>
      <xdr:row>12</xdr:row>
      <xdr:rowOff>465667</xdr:rowOff>
    </xdr:from>
    <xdr:ext cx="258789" cy="264560"/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46291500" y="10752667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h</a:t>
          </a:r>
        </a:p>
      </xdr:txBody>
    </xdr:sp>
    <xdr:clientData/>
  </xdr:oneCellAnchor>
  <xdr:oneCellAnchor>
    <xdr:from>
      <xdr:col>18</xdr:col>
      <xdr:colOff>2487084</xdr:colOff>
      <xdr:row>13</xdr:row>
      <xdr:rowOff>391583</xdr:rowOff>
    </xdr:from>
    <xdr:ext cx="258789" cy="264560"/>
    <xdr:sp macro="" textlink="">
      <xdr:nvSpPr>
        <xdr:cNvPr id="828" name="ZoneTexte 827">
          <a:extLst>
            <a:ext uri="{FF2B5EF4-FFF2-40B4-BE49-F238E27FC236}">
              <a16:creationId xmlns:a16="http://schemas.microsoft.com/office/drawing/2014/main" id="{00000000-0008-0000-0A00-00003C030000}"/>
            </a:ext>
          </a:extLst>
        </xdr:cNvPr>
        <xdr:cNvSpPr txBox="1"/>
      </xdr:nvSpPr>
      <xdr:spPr>
        <a:xfrm>
          <a:off x="46460834" y="12065000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h</a:t>
          </a:r>
        </a:p>
      </xdr:txBody>
    </xdr:sp>
    <xdr:clientData/>
  </xdr:oneCellAnchor>
  <xdr:twoCellAnchor editAs="oneCell">
    <xdr:from>
      <xdr:col>4</xdr:col>
      <xdr:colOff>338666</xdr:colOff>
      <xdr:row>8</xdr:row>
      <xdr:rowOff>86781</xdr:rowOff>
    </xdr:from>
    <xdr:to>
      <xdr:col>4</xdr:col>
      <xdr:colOff>2272319</xdr:colOff>
      <xdr:row>8</xdr:row>
      <xdr:rowOff>1341575</xdr:rowOff>
    </xdr:to>
    <xdr:pic>
      <xdr:nvPicPr>
        <xdr:cNvPr id="820" name="Image 819">
          <a:extLst>
            <a:ext uri="{FF2B5EF4-FFF2-40B4-BE49-F238E27FC236}">
              <a16:creationId xmlns:a16="http://schemas.microsoft.com/office/drawing/2014/main" id="{00000000-0008-0000-0A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7916" y="7600948"/>
          <a:ext cx="1933653" cy="1254794"/>
        </a:xfrm>
        <a:prstGeom prst="rect">
          <a:avLst/>
        </a:prstGeom>
      </xdr:spPr>
    </xdr:pic>
    <xdr:clientData/>
  </xdr:twoCellAnchor>
  <xdr:twoCellAnchor editAs="oneCell">
    <xdr:from>
      <xdr:col>4</xdr:col>
      <xdr:colOff>357717</xdr:colOff>
      <xdr:row>7</xdr:row>
      <xdr:rowOff>10583</xdr:rowOff>
    </xdr:from>
    <xdr:to>
      <xdr:col>4</xdr:col>
      <xdr:colOff>2319866</xdr:colOff>
      <xdr:row>7</xdr:row>
      <xdr:rowOff>1357507</xdr:rowOff>
    </xdr:to>
    <xdr:pic>
      <xdr:nvPicPr>
        <xdr:cNvPr id="821" name="Image 820">
          <a:extLst>
            <a:ext uri="{FF2B5EF4-FFF2-40B4-BE49-F238E27FC236}">
              <a16:creationId xmlns:a16="http://schemas.microsoft.com/office/drawing/2014/main" id="{00000000-0008-0000-0A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967" y="6138333"/>
          <a:ext cx="1962149" cy="1346924"/>
        </a:xfrm>
        <a:prstGeom prst="rect">
          <a:avLst/>
        </a:prstGeom>
      </xdr:spPr>
    </xdr:pic>
    <xdr:clientData/>
  </xdr:twoCellAnchor>
  <xdr:twoCellAnchor editAs="oneCell">
    <xdr:from>
      <xdr:col>6</xdr:col>
      <xdr:colOff>74084</xdr:colOff>
      <xdr:row>38</xdr:row>
      <xdr:rowOff>195793</xdr:rowOff>
    </xdr:from>
    <xdr:to>
      <xdr:col>6</xdr:col>
      <xdr:colOff>2519980</xdr:colOff>
      <xdr:row>38</xdr:row>
      <xdr:rowOff>1234018</xdr:rowOff>
    </xdr:to>
    <xdr:pic>
      <xdr:nvPicPr>
        <xdr:cNvPr id="822" name="Image 821">
          <a:extLst>
            <a:ext uri="{FF2B5EF4-FFF2-40B4-BE49-F238E27FC236}">
              <a16:creationId xmlns:a16="http://schemas.microsoft.com/office/drawing/2014/main" id="{00000000-0008-0000-0A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67" y="47344543"/>
          <a:ext cx="2445896" cy="1038225"/>
        </a:xfrm>
        <a:prstGeom prst="rect">
          <a:avLst/>
        </a:prstGeom>
      </xdr:spPr>
    </xdr:pic>
    <xdr:clientData/>
  </xdr:twoCellAnchor>
  <xdr:twoCellAnchor editAs="oneCell">
    <xdr:from>
      <xdr:col>6</xdr:col>
      <xdr:colOff>169334</xdr:colOff>
      <xdr:row>37</xdr:row>
      <xdr:rowOff>224368</xdr:rowOff>
    </xdr:from>
    <xdr:to>
      <xdr:col>6</xdr:col>
      <xdr:colOff>2615230</xdr:colOff>
      <xdr:row>37</xdr:row>
      <xdr:rowOff>1262593</xdr:rowOff>
    </xdr:to>
    <xdr:pic>
      <xdr:nvPicPr>
        <xdr:cNvPr id="824" name="Image 823">
          <a:extLst>
            <a:ext uri="{FF2B5EF4-FFF2-40B4-BE49-F238E27FC236}">
              <a16:creationId xmlns:a16="http://schemas.microsoft.com/office/drawing/2014/main" id="{00000000-0008-0000-0A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8417" y="45986701"/>
          <a:ext cx="2445896" cy="1038225"/>
        </a:xfrm>
        <a:prstGeom prst="rect">
          <a:avLst/>
        </a:prstGeom>
      </xdr:spPr>
    </xdr:pic>
    <xdr:clientData/>
  </xdr:twoCellAnchor>
  <xdr:twoCellAnchor editAs="oneCell">
    <xdr:from>
      <xdr:col>6</xdr:col>
      <xdr:colOff>188384</xdr:colOff>
      <xdr:row>35</xdr:row>
      <xdr:rowOff>291043</xdr:rowOff>
    </xdr:from>
    <xdr:to>
      <xdr:col>6</xdr:col>
      <xdr:colOff>2493434</xdr:colOff>
      <xdr:row>35</xdr:row>
      <xdr:rowOff>1165887</xdr:rowOff>
    </xdr:to>
    <xdr:pic>
      <xdr:nvPicPr>
        <xdr:cNvPr id="826" name="Image 825">
          <a:extLst>
            <a:ext uri="{FF2B5EF4-FFF2-40B4-BE49-F238E27FC236}">
              <a16:creationId xmlns:a16="http://schemas.microsoft.com/office/drawing/2014/main" id="{00000000-0008-0000-0A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7467" y="43280543"/>
          <a:ext cx="2305050" cy="8748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216959</xdr:colOff>
      <xdr:row>36</xdr:row>
      <xdr:rowOff>338667</xdr:rowOff>
    </xdr:from>
    <xdr:to>
      <xdr:col>6</xdr:col>
      <xdr:colOff>2522009</xdr:colOff>
      <xdr:row>36</xdr:row>
      <xdr:rowOff>1213511</xdr:rowOff>
    </xdr:to>
    <xdr:pic>
      <xdr:nvPicPr>
        <xdr:cNvPr id="827" name="Image 826">
          <a:extLst>
            <a:ext uri="{FF2B5EF4-FFF2-40B4-BE49-F238E27FC236}">
              <a16:creationId xmlns:a16="http://schemas.microsoft.com/office/drawing/2014/main" id="{00000000-0008-0000-0A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6042" y="44714584"/>
          <a:ext cx="2305050" cy="874844"/>
        </a:xfrm>
        <a:prstGeom prst="rect">
          <a:avLst/>
        </a:prstGeom>
      </xdr:spPr>
    </xdr:pic>
    <xdr:clientData/>
  </xdr:twoCellAnchor>
  <xdr:oneCellAnchor>
    <xdr:from>
      <xdr:col>6</xdr:col>
      <xdr:colOff>197909</xdr:colOff>
      <xdr:row>34</xdr:row>
      <xdr:rowOff>310093</xdr:rowOff>
    </xdr:from>
    <xdr:ext cx="2381250" cy="878890"/>
    <xdr:pic>
      <xdr:nvPicPr>
        <xdr:cNvPr id="829" name="Image 828">
          <a:extLst>
            <a:ext uri="{FF2B5EF4-FFF2-40B4-BE49-F238E27FC236}">
              <a16:creationId xmlns:a16="http://schemas.microsoft.com/office/drawing/2014/main" id="{00000000-0008-0000-0A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92" y="41913176"/>
          <a:ext cx="2381250" cy="878890"/>
        </a:xfrm>
        <a:prstGeom prst="rect">
          <a:avLst/>
        </a:prstGeom>
      </xdr:spPr>
    </xdr:pic>
    <xdr:clientData/>
  </xdr:oneCellAnchor>
  <xdr:oneCellAnchor>
    <xdr:from>
      <xdr:col>6</xdr:col>
      <xdr:colOff>207434</xdr:colOff>
      <xdr:row>33</xdr:row>
      <xdr:rowOff>243417</xdr:rowOff>
    </xdr:from>
    <xdr:ext cx="2381250" cy="878890"/>
    <xdr:pic>
      <xdr:nvPicPr>
        <xdr:cNvPr id="830" name="Image 829">
          <a:extLst>
            <a:ext uri="{FF2B5EF4-FFF2-40B4-BE49-F238E27FC236}">
              <a16:creationId xmlns:a16="http://schemas.microsoft.com/office/drawing/2014/main" id="{00000000-0008-0000-0A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6517" y="40460084"/>
          <a:ext cx="2381250" cy="878890"/>
        </a:xfrm>
        <a:prstGeom prst="rect">
          <a:avLst/>
        </a:prstGeom>
      </xdr:spPr>
    </xdr:pic>
    <xdr:clientData/>
  </xdr:oneCellAnchor>
  <xdr:oneCellAnchor>
    <xdr:from>
      <xdr:col>12</xdr:col>
      <xdr:colOff>454834</xdr:colOff>
      <xdr:row>37</xdr:row>
      <xdr:rowOff>9752</xdr:rowOff>
    </xdr:from>
    <xdr:ext cx="1898345" cy="1311584"/>
    <xdr:pic>
      <xdr:nvPicPr>
        <xdr:cNvPr id="831" name="Image 830">
          <a:extLst>
            <a:ext uri="{FF2B5EF4-FFF2-40B4-BE49-F238E27FC236}">
              <a16:creationId xmlns:a16="http://schemas.microsoft.com/office/drawing/2014/main" id="{00000000-0008-0000-0A00-00003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183417" y="45772085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579584</xdr:colOff>
      <xdr:row>35</xdr:row>
      <xdr:rowOff>136755</xdr:rowOff>
    </xdr:from>
    <xdr:ext cx="1758828" cy="1078748"/>
    <xdr:pic>
      <xdr:nvPicPr>
        <xdr:cNvPr id="832" name="Image 831">
          <a:extLst>
            <a:ext uri="{FF2B5EF4-FFF2-40B4-BE49-F238E27FC236}">
              <a16:creationId xmlns:a16="http://schemas.microsoft.com/office/drawing/2014/main" id="{00000000-0008-0000-0A00-00004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308167" y="43126255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476249</xdr:colOff>
      <xdr:row>36</xdr:row>
      <xdr:rowOff>93667</xdr:rowOff>
    </xdr:from>
    <xdr:ext cx="1758828" cy="1078748"/>
    <xdr:pic>
      <xdr:nvPicPr>
        <xdr:cNvPr id="833" name="Image 832">
          <a:extLst>
            <a:ext uri="{FF2B5EF4-FFF2-40B4-BE49-F238E27FC236}">
              <a16:creationId xmlns:a16="http://schemas.microsoft.com/office/drawing/2014/main" id="{00000000-0008-0000-0A00-00004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954" t="9734" r="21670" b="35339"/>
        <a:stretch/>
      </xdr:blipFill>
      <xdr:spPr>
        <a:xfrm>
          <a:off x="30204832" y="44469584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476250</xdr:colOff>
      <xdr:row>38</xdr:row>
      <xdr:rowOff>30168</xdr:rowOff>
    </xdr:from>
    <xdr:ext cx="1898345" cy="1311584"/>
    <xdr:pic>
      <xdr:nvPicPr>
        <xdr:cNvPr id="839" name="Image 838">
          <a:extLst>
            <a:ext uri="{FF2B5EF4-FFF2-40B4-BE49-F238E27FC236}">
              <a16:creationId xmlns:a16="http://schemas.microsoft.com/office/drawing/2014/main" id="{00000000-0008-0000-0A00-000047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414" t="7751" r="20424" b="17317"/>
        <a:stretch/>
      </xdr:blipFill>
      <xdr:spPr>
        <a:xfrm>
          <a:off x="30204833" y="47178918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608918</xdr:colOff>
      <xdr:row>33</xdr:row>
      <xdr:rowOff>232833</xdr:rowOff>
    </xdr:from>
    <xdr:ext cx="1518333" cy="980590"/>
    <xdr:pic>
      <xdr:nvPicPr>
        <xdr:cNvPr id="841" name="Image 840">
          <a:extLst>
            <a:ext uri="{FF2B5EF4-FFF2-40B4-BE49-F238E27FC236}">
              <a16:creationId xmlns:a16="http://schemas.microsoft.com/office/drawing/2014/main" id="{00000000-0008-0000-0A00-00004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37501" y="40449500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592667</xdr:colOff>
      <xdr:row>34</xdr:row>
      <xdr:rowOff>157169</xdr:rowOff>
    </xdr:from>
    <xdr:ext cx="1518333" cy="980590"/>
    <xdr:pic>
      <xdr:nvPicPr>
        <xdr:cNvPr id="846" name="Image 845">
          <a:extLst>
            <a:ext uri="{FF2B5EF4-FFF2-40B4-BE49-F238E27FC236}">
              <a16:creationId xmlns:a16="http://schemas.microsoft.com/office/drawing/2014/main" id="{00000000-0008-0000-0A00-00004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41183" t="6897" r="22383" b="47663"/>
        <a:stretch/>
      </xdr:blipFill>
      <xdr:spPr>
        <a:xfrm>
          <a:off x="30321250" y="41760252"/>
          <a:ext cx="1518333" cy="980590"/>
        </a:xfrm>
        <a:prstGeom prst="rect">
          <a:avLst/>
        </a:prstGeom>
      </xdr:spPr>
    </xdr:pic>
    <xdr:clientData/>
  </xdr:oneCellAnchor>
  <xdr:twoCellAnchor>
    <xdr:from>
      <xdr:col>5</xdr:col>
      <xdr:colOff>669925</xdr:colOff>
      <xdr:row>86</xdr:row>
      <xdr:rowOff>189441</xdr:rowOff>
    </xdr:from>
    <xdr:to>
      <xdr:col>5</xdr:col>
      <xdr:colOff>822325</xdr:colOff>
      <xdr:row>86</xdr:row>
      <xdr:rowOff>341841</xdr:rowOff>
    </xdr:to>
    <xdr:sp macro="" textlink="">
      <xdr:nvSpPr>
        <xdr:cNvPr id="847" name="Rectangle 846">
          <a:extLst>
            <a:ext uri="{FF2B5EF4-FFF2-40B4-BE49-F238E27FC236}">
              <a16:creationId xmlns:a16="http://schemas.microsoft.com/office/drawing/2014/main" id="{00000000-0008-0000-0A00-00004F030000}"/>
            </a:ext>
          </a:extLst>
        </xdr:cNvPr>
        <xdr:cNvSpPr/>
      </xdr:nvSpPr>
      <xdr:spPr>
        <a:xfrm>
          <a:off x="11359092" y="12303019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675369</xdr:colOff>
      <xdr:row>86</xdr:row>
      <xdr:rowOff>1454150</xdr:rowOff>
    </xdr:from>
    <xdr:to>
      <xdr:col>5</xdr:col>
      <xdr:colOff>827769</xdr:colOff>
      <xdr:row>86</xdr:row>
      <xdr:rowOff>1606550</xdr:rowOff>
    </xdr:to>
    <xdr:sp macro="" textlink="">
      <xdr:nvSpPr>
        <xdr:cNvPr id="851" name="Rectangle 850">
          <a:extLst>
            <a:ext uri="{FF2B5EF4-FFF2-40B4-BE49-F238E27FC236}">
              <a16:creationId xmlns:a16="http://schemas.microsoft.com/office/drawing/2014/main" id="{00000000-0008-0000-0A00-000053030000}"/>
            </a:ext>
          </a:extLst>
        </xdr:cNvPr>
        <xdr:cNvSpPr/>
      </xdr:nvSpPr>
      <xdr:spPr>
        <a:xfrm>
          <a:off x="11364536" y="1242949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1927225</xdr:colOff>
      <xdr:row>86</xdr:row>
      <xdr:rowOff>179916</xdr:rowOff>
    </xdr:from>
    <xdr:to>
      <xdr:col>5</xdr:col>
      <xdr:colOff>2079625</xdr:colOff>
      <xdr:row>86</xdr:row>
      <xdr:rowOff>332316</xdr:rowOff>
    </xdr:to>
    <xdr:sp macro="" textlink="">
      <xdr:nvSpPr>
        <xdr:cNvPr id="852" name="Rectangle 851">
          <a:extLst>
            <a:ext uri="{FF2B5EF4-FFF2-40B4-BE49-F238E27FC236}">
              <a16:creationId xmlns:a16="http://schemas.microsoft.com/office/drawing/2014/main" id="{00000000-0008-0000-0A00-000054030000}"/>
            </a:ext>
          </a:extLst>
        </xdr:cNvPr>
        <xdr:cNvSpPr/>
      </xdr:nvSpPr>
      <xdr:spPr>
        <a:xfrm>
          <a:off x="12616392" y="12302066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1923144</xdr:colOff>
      <xdr:row>86</xdr:row>
      <xdr:rowOff>1454150</xdr:rowOff>
    </xdr:from>
    <xdr:to>
      <xdr:col>5</xdr:col>
      <xdr:colOff>2075544</xdr:colOff>
      <xdr:row>86</xdr:row>
      <xdr:rowOff>1606550</xdr:rowOff>
    </xdr:to>
    <xdr:sp macro="" textlink="">
      <xdr:nvSpPr>
        <xdr:cNvPr id="924" name="Rectangle 923">
          <a:extLst>
            <a:ext uri="{FF2B5EF4-FFF2-40B4-BE49-F238E27FC236}">
              <a16:creationId xmlns:a16="http://schemas.microsoft.com/office/drawing/2014/main" id="{00000000-0008-0000-0A00-00009C030000}"/>
            </a:ext>
          </a:extLst>
        </xdr:cNvPr>
        <xdr:cNvSpPr/>
      </xdr:nvSpPr>
      <xdr:spPr>
        <a:xfrm>
          <a:off x="12612311" y="1242949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698500</xdr:colOff>
      <xdr:row>86</xdr:row>
      <xdr:rowOff>677806</xdr:rowOff>
    </xdr:from>
    <xdr:to>
      <xdr:col>5</xdr:col>
      <xdr:colOff>2043906</xdr:colOff>
      <xdr:row>86</xdr:row>
      <xdr:rowOff>723525</xdr:rowOff>
    </xdr:to>
    <xdr:sp macro="" textlink="">
      <xdr:nvSpPr>
        <xdr:cNvPr id="929" name="Rectangle 928">
          <a:extLst>
            <a:ext uri="{FF2B5EF4-FFF2-40B4-BE49-F238E27FC236}">
              <a16:creationId xmlns:a16="http://schemas.microsoft.com/office/drawing/2014/main" id="{00000000-0008-0000-0A00-0000A1030000}"/>
            </a:ext>
          </a:extLst>
        </xdr:cNvPr>
        <xdr:cNvSpPr/>
      </xdr:nvSpPr>
      <xdr:spPr>
        <a:xfrm>
          <a:off x="11387667" y="123518556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707159</xdr:colOff>
      <xdr:row>86</xdr:row>
      <xdr:rowOff>1145396</xdr:rowOff>
    </xdr:from>
    <xdr:to>
      <xdr:col>5</xdr:col>
      <xdr:colOff>2052565</xdr:colOff>
      <xdr:row>86</xdr:row>
      <xdr:rowOff>1191115</xdr:rowOff>
    </xdr:to>
    <xdr:sp macro="" textlink="">
      <xdr:nvSpPr>
        <xdr:cNvPr id="930" name="Rectangle 929">
          <a:extLst>
            <a:ext uri="{FF2B5EF4-FFF2-40B4-BE49-F238E27FC236}">
              <a16:creationId xmlns:a16="http://schemas.microsoft.com/office/drawing/2014/main" id="{00000000-0008-0000-0A00-0000A2030000}"/>
            </a:ext>
          </a:extLst>
        </xdr:cNvPr>
        <xdr:cNvSpPr/>
      </xdr:nvSpPr>
      <xdr:spPr>
        <a:xfrm>
          <a:off x="11396326" y="123986146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659341</xdr:colOff>
      <xdr:row>87</xdr:row>
      <xdr:rowOff>369358</xdr:rowOff>
    </xdr:from>
    <xdr:to>
      <xdr:col>5</xdr:col>
      <xdr:colOff>811741</xdr:colOff>
      <xdr:row>87</xdr:row>
      <xdr:rowOff>521758</xdr:rowOff>
    </xdr:to>
    <xdr:sp macro="" textlink="">
      <xdr:nvSpPr>
        <xdr:cNvPr id="931" name="Rectangle 930">
          <a:extLst>
            <a:ext uri="{FF2B5EF4-FFF2-40B4-BE49-F238E27FC236}">
              <a16:creationId xmlns:a16="http://schemas.microsoft.com/office/drawing/2014/main" id="{00000000-0008-0000-0A00-0000A3030000}"/>
            </a:ext>
          </a:extLst>
        </xdr:cNvPr>
        <xdr:cNvSpPr/>
      </xdr:nvSpPr>
      <xdr:spPr>
        <a:xfrm>
          <a:off x="11348508" y="12524210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664784</xdr:colOff>
      <xdr:row>87</xdr:row>
      <xdr:rowOff>1602316</xdr:rowOff>
    </xdr:from>
    <xdr:to>
      <xdr:col>5</xdr:col>
      <xdr:colOff>817184</xdr:colOff>
      <xdr:row>87</xdr:row>
      <xdr:rowOff>1754716</xdr:rowOff>
    </xdr:to>
    <xdr:sp macro="" textlink="">
      <xdr:nvSpPr>
        <xdr:cNvPr id="932" name="Rectangle 931">
          <a:extLst>
            <a:ext uri="{FF2B5EF4-FFF2-40B4-BE49-F238E27FC236}">
              <a16:creationId xmlns:a16="http://schemas.microsoft.com/office/drawing/2014/main" id="{00000000-0008-0000-0A00-0000A4030000}"/>
            </a:ext>
          </a:extLst>
        </xdr:cNvPr>
        <xdr:cNvSpPr/>
      </xdr:nvSpPr>
      <xdr:spPr>
        <a:xfrm>
          <a:off x="11353951" y="12647506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1916641</xdr:colOff>
      <xdr:row>87</xdr:row>
      <xdr:rowOff>359833</xdr:rowOff>
    </xdr:from>
    <xdr:to>
      <xdr:col>5</xdr:col>
      <xdr:colOff>2069041</xdr:colOff>
      <xdr:row>87</xdr:row>
      <xdr:rowOff>512233</xdr:rowOff>
    </xdr:to>
    <xdr:sp macro="" textlink="">
      <xdr:nvSpPr>
        <xdr:cNvPr id="933" name="Rectangle 932">
          <a:extLst>
            <a:ext uri="{FF2B5EF4-FFF2-40B4-BE49-F238E27FC236}">
              <a16:creationId xmlns:a16="http://schemas.microsoft.com/office/drawing/2014/main" id="{00000000-0008-0000-0A00-0000A5030000}"/>
            </a:ext>
          </a:extLst>
        </xdr:cNvPr>
        <xdr:cNvSpPr/>
      </xdr:nvSpPr>
      <xdr:spPr>
        <a:xfrm>
          <a:off x="12605808" y="12523258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1912559</xdr:colOff>
      <xdr:row>87</xdr:row>
      <xdr:rowOff>1602316</xdr:rowOff>
    </xdr:from>
    <xdr:to>
      <xdr:col>5</xdr:col>
      <xdr:colOff>2064959</xdr:colOff>
      <xdr:row>87</xdr:row>
      <xdr:rowOff>1754716</xdr:rowOff>
    </xdr:to>
    <xdr:sp macro="" textlink="">
      <xdr:nvSpPr>
        <xdr:cNvPr id="934" name="Rectangle 933">
          <a:extLst>
            <a:ext uri="{FF2B5EF4-FFF2-40B4-BE49-F238E27FC236}">
              <a16:creationId xmlns:a16="http://schemas.microsoft.com/office/drawing/2014/main" id="{00000000-0008-0000-0A00-0000A6030000}"/>
            </a:ext>
          </a:extLst>
        </xdr:cNvPr>
        <xdr:cNvSpPr/>
      </xdr:nvSpPr>
      <xdr:spPr>
        <a:xfrm>
          <a:off x="12601726" y="12647506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677092</xdr:colOff>
      <xdr:row>87</xdr:row>
      <xdr:rowOff>798201</xdr:rowOff>
    </xdr:from>
    <xdr:to>
      <xdr:col>5</xdr:col>
      <xdr:colOff>2022498</xdr:colOff>
      <xdr:row>87</xdr:row>
      <xdr:rowOff>843920</xdr:rowOff>
    </xdr:to>
    <xdr:sp macro="" textlink="">
      <xdr:nvSpPr>
        <xdr:cNvPr id="940" name="Rectangle 939">
          <a:extLst>
            <a:ext uri="{FF2B5EF4-FFF2-40B4-BE49-F238E27FC236}">
              <a16:creationId xmlns:a16="http://schemas.microsoft.com/office/drawing/2014/main" id="{00000000-0008-0000-0A00-0000AC030000}"/>
            </a:ext>
          </a:extLst>
        </xdr:cNvPr>
        <xdr:cNvSpPr/>
      </xdr:nvSpPr>
      <xdr:spPr>
        <a:xfrm>
          <a:off x="11366259" y="125670951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891837</xdr:colOff>
      <xdr:row>87</xdr:row>
      <xdr:rowOff>698404</xdr:rowOff>
    </xdr:from>
    <xdr:to>
      <xdr:col>5</xdr:col>
      <xdr:colOff>1126299</xdr:colOff>
      <xdr:row>87</xdr:row>
      <xdr:rowOff>925538</xdr:rowOff>
    </xdr:to>
    <xdr:sp macro="" textlink="">
      <xdr:nvSpPr>
        <xdr:cNvPr id="942" name="Organigramme : Jonction de sommaire 941">
          <a:extLst>
            <a:ext uri="{FF2B5EF4-FFF2-40B4-BE49-F238E27FC236}">
              <a16:creationId xmlns:a16="http://schemas.microsoft.com/office/drawing/2014/main" id="{00000000-0008-0000-0A00-0000AE030000}"/>
            </a:ext>
          </a:extLst>
        </xdr:cNvPr>
        <xdr:cNvSpPr/>
      </xdr:nvSpPr>
      <xdr:spPr>
        <a:xfrm>
          <a:off x="11581004" y="125571154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1536372</xdr:colOff>
      <xdr:row>87</xdr:row>
      <xdr:rowOff>718286</xdr:rowOff>
    </xdr:from>
    <xdr:to>
      <xdr:col>5</xdr:col>
      <xdr:colOff>1770834</xdr:colOff>
      <xdr:row>87</xdr:row>
      <xdr:rowOff>945420</xdr:rowOff>
    </xdr:to>
    <xdr:sp macro="" textlink="">
      <xdr:nvSpPr>
        <xdr:cNvPr id="947" name="Organigramme : Jonction de sommaire 946">
          <a:extLst>
            <a:ext uri="{FF2B5EF4-FFF2-40B4-BE49-F238E27FC236}">
              <a16:creationId xmlns:a16="http://schemas.microsoft.com/office/drawing/2014/main" id="{00000000-0008-0000-0A00-0000B3030000}"/>
            </a:ext>
          </a:extLst>
        </xdr:cNvPr>
        <xdr:cNvSpPr/>
      </xdr:nvSpPr>
      <xdr:spPr>
        <a:xfrm>
          <a:off x="12225539" y="12559103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696575</xdr:colOff>
      <xdr:row>87</xdr:row>
      <xdr:rowOff>1282979</xdr:rowOff>
    </xdr:from>
    <xdr:to>
      <xdr:col>5</xdr:col>
      <xdr:colOff>2041981</xdr:colOff>
      <xdr:row>87</xdr:row>
      <xdr:rowOff>1328698</xdr:rowOff>
    </xdr:to>
    <xdr:sp macro="" textlink="">
      <xdr:nvSpPr>
        <xdr:cNvPr id="948" name="Rectangle 947">
          <a:extLst>
            <a:ext uri="{FF2B5EF4-FFF2-40B4-BE49-F238E27FC236}">
              <a16:creationId xmlns:a16="http://schemas.microsoft.com/office/drawing/2014/main" id="{00000000-0008-0000-0A00-0000B4030000}"/>
            </a:ext>
          </a:extLst>
        </xdr:cNvPr>
        <xdr:cNvSpPr/>
      </xdr:nvSpPr>
      <xdr:spPr>
        <a:xfrm>
          <a:off x="11385742" y="126155729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659342</xdr:colOff>
      <xdr:row>88</xdr:row>
      <xdr:rowOff>358775</xdr:rowOff>
    </xdr:from>
    <xdr:to>
      <xdr:col>5</xdr:col>
      <xdr:colOff>811742</xdr:colOff>
      <xdr:row>88</xdr:row>
      <xdr:rowOff>511175</xdr:rowOff>
    </xdr:to>
    <xdr:sp macro="" textlink="">
      <xdr:nvSpPr>
        <xdr:cNvPr id="949" name="Rectangle 948">
          <a:extLst>
            <a:ext uri="{FF2B5EF4-FFF2-40B4-BE49-F238E27FC236}">
              <a16:creationId xmlns:a16="http://schemas.microsoft.com/office/drawing/2014/main" id="{00000000-0008-0000-0A00-0000B5030000}"/>
            </a:ext>
          </a:extLst>
        </xdr:cNvPr>
        <xdr:cNvSpPr/>
      </xdr:nvSpPr>
      <xdr:spPr>
        <a:xfrm>
          <a:off x="11348509" y="1272635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664785</xdr:colOff>
      <xdr:row>88</xdr:row>
      <xdr:rowOff>1612900</xdr:rowOff>
    </xdr:from>
    <xdr:to>
      <xdr:col>5</xdr:col>
      <xdr:colOff>817185</xdr:colOff>
      <xdr:row>88</xdr:row>
      <xdr:rowOff>1765300</xdr:rowOff>
    </xdr:to>
    <xdr:sp macro="" textlink="">
      <xdr:nvSpPr>
        <xdr:cNvPr id="950" name="Rectangle 949">
          <a:extLst>
            <a:ext uri="{FF2B5EF4-FFF2-40B4-BE49-F238E27FC236}">
              <a16:creationId xmlns:a16="http://schemas.microsoft.com/office/drawing/2014/main" id="{00000000-0008-0000-0A00-0000B6030000}"/>
            </a:ext>
          </a:extLst>
        </xdr:cNvPr>
        <xdr:cNvSpPr/>
      </xdr:nvSpPr>
      <xdr:spPr>
        <a:xfrm>
          <a:off x="11353952" y="1285176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1916642</xdr:colOff>
      <xdr:row>88</xdr:row>
      <xdr:rowOff>349250</xdr:rowOff>
    </xdr:from>
    <xdr:to>
      <xdr:col>5</xdr:col>
      <xdr:colOff>2069042</xdr:colOff>
      <xdr:row>88</xdr:row>
      <xdr:rowOff>501650</xdr:rowOff>
    </xdr:to>
    <xdr:sp macro="" textlink="">
      <xdr:nvSpPr>
        <xdr:cNvPr id="951" name="Rectangle 950">
          <a:extLst>
            <a:ext uri="{FF2B5EF4-FFF2-40B4-BE49-F238E27FC236}">
              <a16:creationId xmlns:a16="http://schemas.microsoft.com/office/drawing/2014/main" id="{00000000-0008-0000-0A00-0000B7030000}"/>
            </a:ext>
          </a:extLst>
        </xdr:cNvPr>
        <xdr:cNvSpPr/>
      </xdr:nvSpPr>
      <xdr:spPr>
        <a:xfrm>
          <a:off x="12605809" y="1272540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1912560</xdr:colOff>
      <xdr:row>88</xdr:row>
      <xdr:rowOff>1612900</xdr:rowOff>
    </xdr:from>
    <xdr:to>
      <xdr:col>5</xdr:col>
      <xdr:colOff>2064960</xdr:colOff>
      <xdr:row>88</xdr:row>
      <xdr:rowOff>1765300</xdr:rowOff>
    </xdr:to>
    <xdr:sp macro="" textlink="">
      <xdr:nvSpPr>
        <xdr:cNvPr id="953" name="Rectangle 952">
          <a:extLst>
            <a:ext uri="{FF2B5EF4-FFF2-40B4-BE49-F238E27FC236}">
              <a16:creationId xmlns:a16="http://schemas.microsoft.com/office/drawing/2014/main" id="{00000000-0008-0000-0A00-0000B9030000}"/>
            </a:ext>
          </a:extLst>
        </xdr:cNvPr>
        <xdr:cNvSpPr/>
      </xdr:nvSpPr>
      <xdr:spPr>
        <a:xfrm>
          <a:off x="12601727" y="1285176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687917</xdr:colOff>
      <xdr:row>88</xdr:row>
      <xdr:rowOff>825973</xdr:rowOff>
    </xdr:from>
    <xdr:to>
      <xdr:col>5</xdr:col>
      <xdr:colOff>2033323</xdr:colOff>
      <xdr:row>88</xdr:row>
      <xdr:rowOff>871692</xdr:rowOff>
    </xdr:to>
    <xdr:sp macro="" textlink="">
      <xdr:nvSpPr>
        <xdr:cNvPr id="958" name="Rectangle 957">
          <a:extLst>
            <a:ext uri="{FF2B5EF4-FFF2-40B4-BE49-F238E27FC236}">
              <a16:creationId xmlns:a16="http://schemas.microsoft.com/office/drawing/2014/main" id="{00000000-0008-0000-0A00-0000BE030000}"/>
            </a:ext>
          </a:extLst>
        </xdr:cNvPr>
        <xdr:cNvSpPr/>
      </xdr:nvSpPr>
      <xdr:spPr>
        <a:xfrm>
          <a:off x="11377084" y="12773072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857971</xdr:colOff>
      <xdr:row>88</xdr:row>
      <xdr:rowOff>741796</xdr:rowOff>
    </xdr:from>
    <xdr:to>
      <xdr:col>5</xdr:col>
      <xdr:colOff>1092433</xdr:colOff>
      <xdr:row>88</xdr:row>
      <xdr:rowOff>968930</xdr:rowOff>
    </xdr:to>
    <xdr:sp macro="" textlink="">
      <xdr:nvSpPr>
        <xdr:cNvPr id="959" name="Organigramme : Jonction de sommaire 958">
          <a:extLst>
            <a:ext uri="{FF2B5EF4-FFF2-40B4-BE49-F238E27FC236}">
              <a16:creationId xmlns:a16="http://schemas.microsoft.com/office/drawing/2014/main" id="{00000000-0008-0000-0A00-0000BF030000}"/>
            </a:ext>
          </a:extLst>
        </xdr:cNvPr>
        <xdr:cNvSpPr/>
      </xdr:nvSpPr>
      <xdr:spPr>
        <a:xfrm>
          <a:off x="11547138" y="12764654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1643264</xdr:colOff>
      <xdr:row>88</xdr:row>
      <xdr:rowOff>742628</xdr:rowOff>
    </xdr:from>
    <xdr:to>
      <xdr:col>5</xdr:col>
      <xdr:colOff>1877726</xdr:colOff>
      <xdr:row>88</xdr:row>
      <xdr:rowOff>969762</xdr:rowOff>
    </xdr:to>
    <xdr:sp macro="" textlink="">
      <xdr:nvSpPr>
        <xdr:cNvPr id="960" name="Organigramme : Jonction de sommaire 959">
          <a:extLst>
            <a:ext uri="{FF2B5EF4-FFF2-40B4-BE49-F238E27FC236}">
              <a16:creationId xmlns:a16="http://schemas.microsoft.com/office/drawing/2014/main" id="{00000000-0008-0000-0A00-0000C0030000}"/>
            </a:ext>
          </a:extLst>
        </xdr:cNvPr>
        <xdr:cNvSpPr/>
      </xdr:nvSpPr>
      <xdr:spPr>
        <a:xfrm>
          <a:off x="12332431" y="12764737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696576</xdr:colOff>
      <xdr:row>88</xdr:row>
      <xdr:rowOff>1293563</xdr:rowOff>
    </xdr:from>
    <xdr:to>
      <xdr:col>5</xdr:col>
      <xdr:colOff>2041982</xdr:colOff>
      <xdr:row>88</xdr:row>
      <xdr:rowOff>1339282</xdr:rowOff>
    </xdr:to>
    <xdr:sp macro="" textlink="">
      <xdr:nvSpPr>
        <xdr:cNvPr id="973" name="Rectangle 972">
          <a:extLst>
            <a:ext uri="{FF2B5EF4-FFF2-40B4-BE49-F238E27FC236}">
              <a16:creationId xmlns:a16="http://schemas.microsoft.com/office/drawing/2014/main" id="{00000000-0008-0000-0A00-0000CD030000}"/>
            </a:ext>
          </a:extLst>
        </xdr:cNvPr>
        <xdr:cNvSpPr/>
      </xdr:nvSpPr>
      <xdr:spPr>
        <a:xfrm>
          <a:off x="11385743" y="12819831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834880</xdr:colOff>
      <xdr:row>88</xdr:row>
      <xdr:rowOff>1209386</xdr:rowOff>
    </xdr:from>
    <xdr:to>
      <xdr:col>5</xdr:col>
      <xdr:colOff>1069342</xdr:colOff>
      <xdr:row>88</xdr:row>
      <xdr:rowOff>1436520</xdr:rowOff>
    </xdr:to>
    <xdr:sp macro="" textlink="">
      <xdr:nvSpPr>
        <xdr:cNvPr id="974" name="Organigramme : Jonction de sommaire 973">
          <a:extLst>
            <a:ext uri="{FF2B5EF4-FFF2-40B4-BE49-F238E27FC236}">
              <a16:creationId xmlns:a16="http://schemas.microsoft.com/office/drawing/2014/main" id="{00000000-0008-0000-0A00-0000CE030000}"/>
            </a:ext>
          </a:extLst>
        </xdr:cNvPr>
        <xdr:cNvSpPr/>
      </xdr:nvSpPr>
      <xdr:spPr>
        <a:xfrm>
          <a:off x="11524047" y="12811413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1630757</xdr:colOff>
      <xdr:row>88</xdr:row>
      <xdr:rowOff>1210218</xdr:rowOff>
    </xdr:from>
    <xdr:to>
      <xdr:col>5</xdr:col>
      <xdr:colOff>1865219</xdr:colOff>
      <xdr:row>88</xdr:row>
      <xdr:rowOff>1437352</xdr:rowOff>
    </xdr:to>
    <xdr:sp macro="" textlink="">
      <xdr:nvSpPr>
        <xdr:cNvPr id="983" name="Organigramme : Jonction de sommaire 982">
          <a:extLst>
            <a:ext uri="{FF2B5EF4-FFF2-40B4-BE49-F238E27FC236}">
              <a16:creationId xmlns:a16="http://schemas.microsoft.com/office/drawing/2014/main" id="{00000000-0008-0000-0A00-0000D7030000}"/>
            </a:ext>
          </a:extLst>
        </xdr:cNvPr>
        <xdr:cNvSpPr/>
      </xdr:nvSpPr>
      <xdr:spPr>
        <a:xfrm>
          <a:off x="12319924" y="1281149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683656</xdr:colOff>
      <xdr:row>89</xdr:row>
      <xdr:rowOff>497416</xdr:rowOff>
    </xdr:from>
    <xdr:to>
      <xdr:col>5</xdr:col>
      <xdr:colOff>683656</xdr:colOff>
      <xdr:row>89</xdr:row>
      <xdr:rowOff>1646327</xdr:rowOff>
    </xdr:to>
    <xdr:cxnSp macro="">
      <xdr:nvCxnSpPr>
        <xdr:cNvPr id="984" name="Connecteur droit 983">
          <a:extLst>
            <a:ext uri="{FF2B5EF4-FFF2-40B4-BE49-F238E27FC236}">
              <a16:creationId xmlns:a16="http://schemas.microsoft.com/office/drawing/2014/main" id="{00000000-0008-0000-0A00-0000D8030000}"/>
            </a:ext>
          </a:extLst>
        </xdr:cNvPr>
        <xdr:cNvCxnSpPr/>
      </xdr:nvCxnSpPr>
      <xdr:spPr>
        <a:xfrm>
          <a:off x="11372823" y="129434166"/>
          <a:ext cx="0" cy="1148911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822325</xdr:colOff>
      <xdr:row>89</xdr:row>
      <xdr:rowOff>377824</xdr:rowOff>
    </xdr:from>
    <xdr:to>
      <xdr:col>5</xdr:col>
      <xdr:colOff>1898650</xdr:colOff>
      <xdr:row>89</xdr:row>
      <xdr:rowOff>377824</xdr:rowOff>
    </xdr:to>
    <xdr:cxnSp macro="">
      <xdr:nvCxnSpPr>
        <xdr:cNvPr id="1027" name="Connecteur droit 1026">
          <a:extLst>
            <a:ext uri="{FF2B5EF4-FFF2-40B4-BE49-F238E27FC236}">
              <a16:creationId xmlns:a16="http://schemas.microsoft.com/office/drawing/2014/main" id="{00000000-0008-0000-0A00-000003040000}"/>
            </a:ext>
          </a:extLst>
        </xdr:cNvPr>
        <xdr:cNvCxnSpPr/>
      </xdr:nvCxnSpPr>
      <xdr:spPr>
        <a:xfrm>
          <a:off x="11511492" y="129314574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837293</xdr:colOff>
      <xdr:row>89</xdr:row>
      <xdr:rowOff>1788583</xdr:rowOff>
    </xdr:from>
    <xdr:to>
      <xdr:col>5</xdr:col>
      <xdr:colOff>1913618</xdr:colOff>
      <xdr:row>89</xdr:row>
      <xdr:rowOff>1788583</xdr:rowOff>
    </xdr:to>
    <xdr:cxnSp macro="">
      <xdr:nvCxnSpPr>
        <xdr:cNvPr id="1045" name="Connecteur droit 1044">
          <a:extLst>
            <a:ext uri="{FF2B5EF4-FFF2-40B4-BE49-F238E27FC236}">
              <a16:creationId xmlns:a16="http://schemas.microsoft.com/office/drawing/2014/main" id="{00000000-0008-0000-0A00-000015040000}"/>
            </a:ext>
          </a:extLst>
        </xdr:cNvPr>
        <xdr:cNvCxnSpPr/>
      </xdr:nvCxnSpPr>
      <xdr:spPr>
        <a:xfrm>
          <a:off x="11526460" y="130725333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669925</xdr:colOff>
      <xdr:row>89</xdr:row>
      <xdr:rowOff>358774</xdr:rowOff>
    </xdr:from>
    <xdr:to>
      <xdr:col>5</xdr:col>
      <xdr:colOff>822325</xdr:colOff>
      <xdr:row>89</xdr:row>
      <xdr:rowOff>511174</xdr:rowOff>
    </xdr:to>
    <xdr:sp macro="" textlink="">
      <xdr:nvSpPr>
        <xdr:cNvPr id="1046" name="Rectangle 1045">
          <a:extLst>
            <a:ext uri="{FF2B5EF4-FFF2-40B4-BE49-F238E27FC236}">
              <a16:creationId xmlns:a16="http://schemas.microsoft.com/office/drawing/2014/main" id="{00000000-0008-0000-0A00-000016040000}"/>
            </a:ext>
          </a:extLst>
        </xdr:cNvPr>
        <xdr:cNvSpPr/>
      </xdr:nvSpPr>
      <xdr:spPr>
        <a:xfrm>
          <a:off x="11359092" y="12929552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675368</xdr:colOff>
      <xdr:row>89</xdr:row>
      <xdr:rowOff>1655233</xdr:rowOff>
    </xdr:from>
    <xdr:to>
      <xdr:col>5</xdr:col>
      <xdr:colOff>827768</xdr:colOff>
      <xdr:row>89</xdr:row>
      <xdr:rowOff>1807633</xdr:rowOff>
    </xdr:to>
    <xdr:sp macro="" textlink="">
      <xdr:nvSpPr>
        <xdr:cNvPr id="1047" name="Rectangle 1046">
          <a:extLst>
            <a:ext uri="{FF2B5EF4-FFF2-40B4-BE49-F238E27FC236}">
              <a16:creationId xmlns:a16="http://schemas.microsoft.com/office/drawing/2014/main" id="{00000000-0008-0000-0A00-000017040000}"/>
            </a:ext>
          </a:extLst>
        </xdr:cNvPr>
        <xdr:cNvSpPr/>
      </xdr:nvSpPr>
      <xdr:spPr>
        <a:xfrm>
          <a:off x="11364535" y="13059198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1927225</xdr:colOff>
      <xdr:row>89</xdr:row>
      <xdr:rowOff>349249</xdr:rowOff>
    </xdr:from>
    <xdr:to>
      <xdr:col>5</xdr:col>
      <xdr:colOff>2079625</xdr:colOff>
      <xdr:row>89</xdr:row>
      <xdr:rowOff>501649</xdr:rowOff>
    </xdr:to>
    <xdr:sp macro="" textlink="">
      <xdr:nvSpPr>
        <xdr:cNvPr id="1048" name="Rectangle 1047">
          <a:extLst>
            <a:ext uri="{FF2B5EF4-FFF2-40B4-BE49-F238E27FC236}">
              <a16:creationId xmlns:a16="http://schemas.microsoft.com/office/drawing/2014/main" id="{00000000-0008-0000-0A00-000018040000}"/>
            </a:ext>
          </a:extLst>
        </xdr:cNvPr>
        <xdr:cNvSpPr/>
      </xdr:nvSpPr>
      <xdr:spPr>
        <a:xfrm>
          <a:off x="12616392" y="1292859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1923143</xdr:colOff>
      <xdr:row>89</xdr:row>
      <xdr:rowOff>1655233</xdr:rowOff>
    </xdr:from>
    <xdr:to>
      <xdr:col>5</xdr:col>
      <xdr:colOff>2075543</xdr:colOff>
      <xdr:row>89</xdr:row>
      <xdr:rowOff>1807633</xdr:rowOff>
    </xdr:to>
    <xdr:sp macro="" textlink="">
      <xdr:nvSpPr>
        <xdr:cNvPr id="1049" name="Rectangle 1048">
          <a:extLst>
            <a:ext uri="{FF2B5EF4-FFF2-40B4-BE49-F238E27FC236}">
              <a16:creationId xmlns:a16="http://schemas.microsoft.com/office/drawing/2014/main" id="{00000000-0008-0000-0A00-000019040000}"/>
            </a:ext>
          </a:extLst>
        </xdr:cNvPr>
        <xdr:cNvSpPr/>
      </xdr:nvSpPr>
      <xdr:spPr>
        <a:xfrm>
          <a:off x="12612310" y="13059198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2049318</xdr:colOff>
      <xdr:row>89</xdr:row>
      <xdr:rowOff>560917</xdr:rowOff>
    </xdr:from>
    <xdr:to>
      <xdr:col>5</xdr:col>
      <xdr:colOff>2049318</xdr:colOff>
      <xdr:row>89</xdr:row>
      <xdr:rowOff>1629874</xdr:rowOff>
    </xdr:to>
    <xdr:cxnSp macro="">
      <xdr:nvCxnSpPr>
        <xdr:cNvPr id="1051" name="Connecteur droit 1050">
          <a:extLst>
            <a:ext uri="{FF2B5EF4-FFF2-40B4-BE49-F238E27FC236}">
              <a16:creationId xmlns:a16="http://schemas.microsoft.com/office/drawing/2014/main" id="{00000000-0008-0000-0A00-00001B040000}"/>
            </a:ext>
          </a:extLst>
        </xdr:cNvPr>
        <xdr:cNvCxnSpPr/>
      </xdr:nvCxnSpPr>
      <xdr:spPr>
        <a:xfrm>
          <a:off x="12738485" y="129497667"/>
          <a:ext cx="0" cy="1068957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698500</xdr:colOff>
      <xdr:row>89</xdr:row>
      <xdr:rowOff>868306</xdr:rowOff>
    </xdr:from>
    <xdr:to>
      <xdr:col>5</xdr:col>
      <xdr:colOff>2043906</xdr:colOff>
      <xdr:row>89</xdr:row>
      <xdr:rowOff>914025</xdr:rowOff>
    </xdr:to>
    <xdr:sp macro="" textlink="">
      <xdr:nvSpPr>
        <xdr:cNvPr id="1052" name="Rectangle 1051">
          <a:extLst>
            <a:ext uri="{FF2B5EF4-FFF2-40B4-BE49-F238E27FC236}">
              <a16:creationId xmlns:a16="http://schemas.microsoft.com/office/drawing/2014/main" id="{00000000-0008-0000-0A00-00001C040000}"/>
            </a:ext>
          </a:extLst>
        </xdr:cNvPr>
        <xdr:cNvSpPr/>
      </xdr:nvSpPr>
      <xdr:spPr>
        <a:xfrm>
          <a:off x="11387667" y="129805056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707159</xdr:colOff>
      <xdr:row>89</xdr:row>
      <xdr:rowOff>1335896</xdr:rowOff>
    </xdr:from>
    <xdr:to>
      <xdr:col>5</xdr:col>
      <xdr:colOff>2052565</xdr:colOff>
      <xdr:row>89</xdr:row>
      <xdr:rowOff>1381615</xdr:rowOff>
    </xdr:to>
    <xdr:sp macro="" textlink="">
      <xdr:nvSpPr>
        <xdr:cNvPr id="1053" name="Rectangle 1052">
          <a:extLst>
            <a:ext uri="{FF2B5EF4-FFF2-40B4-BE49-F238E27FC236}">
              <a16:creationId xmlns:a16="http://schemas.microsoft.com/office/drawing/2014/main" id="{00000000-0008-0000-0A00-00001D040000}"/>
            </a:ext>
          </a:extLst>
        </xdr:cNvPr>
        <xdr:cNvSpPr/>
      </xdr:nvSpPr>
      <xdr:spPr>
        <a:xfrm>
          <a:off x="11396326" y="130272646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673075</xdr:colOff>
      <xdr:row>90</xdr:row>
      <xdr:rowOff>603250</xdr:rowOff>
    </xdr:from>
    <xdr:to>
      <xdr:col>5</xdr:col>
      <xdr:colOff>677333</xdr:colOff>
      <xdr:row>90</xdr:row>
      <xdr:rowOff>1614578</xdr:rowOff>
    </xdr:to>
    <xdr:cxnSp macro="">
      <xdr:nvCxnSpPr>
        <xdr:cNvPr id="1054" name="Connecteur droit 1053">
          <a:extLst>
            <a:ext uri="{FF2B5EF4-FFF2-40B4-BE49-F238E27FC236}">
              <a16:creationId xmlns:a16="http://schemas.microsoft.com/office/drawing/2014/main" id="{00000000-0008-0000-0A00-00001E040000}"/>
            </a:ext>
          </a:extLst>
        </xdr:cNvPr>
        <xdr:cNvCxnSpPr/>
      </xdr:nvCxnSpPr>
      <xdr:spPr>
        <a:xfrm flipH="1">
          <a:off x="11362242" y="131572000"/>
          <a:ext cx="4258" cy="101132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801159</xdr:colOff>
      <xdr:row>90</xdr:row>
      <xdr:rowOff>420159</xdr:rowOff>
    </xdr:from>
    <xdr:to>
      <xdr:col>5</xdr:col>
      <xdr:colOff>1877484</xdr:colOff>
      <xdr:row>90</xdr:row>
      <xdr:rowOff>420159</xdr:rowOff>
    </xdr:to>
    <xdr:cxnSp macro="">
      <xdr:nvCxnSpPr>
        <xdr:cNvPr id="1055" name="Connecteur droit 1054">
          <a:extLst>
            <a:ext uri="{FF2B5EF4-FFF2-40B4-BE49-F238E27FC236}">
              <a16:creationId xmlns:a16="http://schemas.microsoft.com/office/drawing/2014/main" id="{00000000-0008-0000-0A00-00001F040000}"/>
            </a:ext>
          </a:extLst>
        </xdr:cNvPr>
        <xdr:cNvCxnSpPr/>
      </xdr:nvCxnSpPr>
      <xdr:spPr>
        <a:xfrm>
          <a:off x="11490326" y="131388909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816127</xdr:colOff>
      <xdr:row>90</xdr:row>
      <xdr:rowOff>1767417</xdr:rowOff>
    </xdr:from>
    <xdr:to>
      <xdr:col>5</xdr:col>
      <xdr:colOff>1892452</xdr:colOff>
      <xdr:row>90</xdr:row>
      <xdr:rowOff>1767417</xdr:rowOff>
    </xdr:to>
    <xdr:cxnSp macro="">
      <xdr:nvCxnSpPr>
        <xdr:cNvPr id="1056" name="Connecteur droit 1055">
          <a:extLst>
            <a:ext uri="{FF2B5EF4-FFF2-40B4-BE49-F238E27FC236}">
              <a16:creationId xmlns:a16="http://schemas.microsoft.com/office/drawing/2014/main" id="{00000000-0008-0000-0A00-000020040000}"/>
            </a:ext>
          </a:extLst>
        </xdr:cNvPr>
        <xdr:cNvCxnSpPr/>
      </xdr:nvCxnSpPr>
      <xdr:spPr>
        <a:xfrm>
          <a:off x="11505294" y="132736167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648759</xdr:colOff>
      <xdr:row>90</xdr:row>
      <xdr:rowOff>401109</xdr:rowOff>
    </xdr:from>
    <xdr:to>
      <xdr:col>5</xdr:col>
      <xdr:colOff>801159</xdr:colOff>
      <xdr:row>90</xdr:row>
      <xdr:rowOff>553509</xdr:rowOff>
    </xdr:to>
    <xdr:sp macro="" textlink="">
      <xdr:nvSpPr>
        <xdr:cNvPr id="1057" name="Rectangle 1056">
          <a:extLst>
            <a:ext uri="{FF2B5EF4-FFF2-40B4-BE49-F238E27FC236}">
              <a16:creationId xmlns:a16="http://schemas.microsoft.com/office/drawing/2014/main" id="{00000000-0008-0000-0A00-000021040000}"/>
            </a:ext>
          </a:extLst>
        </xdr:cNvPr>
        <xdr:cNvSpPr/>
      </xdr:nvSpPr>
      <xdr:spPr>
        <a:xfrm>
          <a:off x="11337926" y="13136985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654202</xdr:colOff>
      <xdr:row>90</xdr:row>
      <xdr:rowOff>1634067</xdr:rowOff>
    </xdr:from>
    <xdr:to>
      <xdr:col>5</xdr:col>
      <xdr:colOff>806602</xdr:colOff>
      <xdr:row>90</xdr:row>
      <xdr:rowOff>1786467</xdr:rowOff>
    </xdr:to>
    <xdr:sp macro="" textlink="">
      <xdr:nvSpPr>
        <xdr:cNvPr id="1058" name="Rectangle 1057">
          <a:extLst>
            <a:ext uri="{FF2B5EF4-FFF2-40B4-BE49-F238E27FC236}">
              <a16:creationId xmlns:a16="http://schemas.microsoft.com/office/drawing/2014/main" id="{00000000-0008-0000-0A00-000022040000}"/>
            </a:ext>
          </a:extLst>
        </xdr:cNvPr>
        <xdr:cNvSpPr/>
      </xdr:nvSpPr>
      <xdr:spPr>
        <a:xfrm>
          <a:off x="11343369" y="13260281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1906059</xdr:colOff>
      <xdr:row>90</xdr:row>
      <xdr:rowOff>391584</xdr:rowOff>
    </xdr:from>
    <xdr:to>
      <xdr:col>5</xdr:col>
      <xdr:colOff>2058459</xdr:colOff>
      <xdr:row>90</xdr:row>
      <xdr:rowOff>543984</xdr:rowOff>
    </xdr:to>
    <xdr:sp macro="" textlink="">
      <xdr:nvSpPr>
        <xdr:cNvPr id="1059" name="Rectangle 1058">
          <a:extLst>
            <a:ext uri="{FF2B5EF4-FFF2-40B4-BE49-F238E27FC236}">
              <a16:creationId xmlns:a16="http://schemas.microsoft.com/office/drawing/2014/main" id="{00000000-0008-0000-0A00-000023040000}"/>
            </a:ext>
          </a:extLst>
        </xdr:cNvPr>
        <xdr:cNvSpPr/>
      </xdr:nvSpPr>
      <xdr:spPr>
        <a:xfrm>
          <a:off x="12595226" y="13136033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1901977</xdr:colOff>
      <xdr:row>90</xdr:row>
      <xdr:rowOff>1634067</xdr:rowOff>
    </xdr:from>
    <xdr:to>
      <xdr:col>5</xdr:col>
      <xdr:colOff>2054377</xdr:colOff>
      <xdr:row>90</xdr:row>
      <xdr:rowOff>1786467</xdr:rowOff>
    </xdr:to>
    <xdr:sp macro="" textlink="">
      <xdr:nvSpPr>
        <xdr:cNvPr id="1060" name="Rectangle 1059">
          <a:extLst>
            <a:ext uri="{FF2B5EF4-FFF2-40B4-BE49-F238E27FC236}">
              <a16:creationId xmlns:a16="http://schemas.microsoft.com/office/drawing/2014/main" id="{00000000-0008-0000-0A00-000024040000}"/>
            </a:ext>
          </a:extLst>
        </xdr:cNvPr>
        <xdr:cNvSpPr/>
      </xdr:nvSpPr>
      <xdr:spPr>
        <a:xfrm>
          <a:off x="12591144" y="13260281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666510</xdr:colOff>
      <xdr:row>90</xdr:row>
      <xdr:rowOff>829952</xdr:rowOff>
    </xdr:from>
    <xdr:to>
      <xdr:col>5</xdr:col>
      <xdr:colOff>2011916</xdr:colOff>
      <xdr:row>90</xdr:row>
      <xdr:rowOff>875671</xdr:rowOff>
    </xdr:to>
    <xdr:sp macro="" textlink="">
      <xdr:nvSpPr>
        <xdr:cNvPr id="1061" name="Rectangle 1060">
          <a:extLst>
            <a:ext uri="{FF2B5EF4-FFF2-40B4-BE49-F238E27FC236}">
              <a16:creationId xmlns:a16="http://schemas.microsoft.com/office/drawing/2014/main" id="{00000000-0008-0000-0A00-000025040000}"/>
            </a:ext>
          </a:extLst>
        </xdr:cNvPr>
        <xdr:cNvSpPr/>
      </xdr:nvSpPr>
      <xdr:spPr>
        <a:xfrm>
          <a:off x="11355677" y="131798702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900305</xdr:colOff>
      <xdr:row>90</xdr:row>
      <xdr:rowOff>739680</xdr:rowOff>
    </xdr:from>
    <xdr:to>
      <xdr:col>5</xdr:col>
      <xdr:colOff>1134767</xdr:colOff>
      <xdr:row>90</xdr:row>
      <xdr:rowOff>966814</xdr:rowOff>
    </xdr:to>
    <xdr:sp macro="" textlink="">
      <xdr:nvSpPr>
        <xdr:cNvPr id="1064" name="Organigramme : Jonction de sommaire 1063">
          <a:extLst>
            <a:ext uri="{FF2B5EF4-FFF2-40B4-BE49-F238E27FC236}">
              <a16:creationId xmlns:a16="http://schemas.microsoft.com/office/drawing/2014/main" id="{00000000-0008-0000-0A00-000028040000}"/>
            </a:ext>
          </a:extLst>
        </xdr:cNvPr>
        <xdr:cNvSpPr/>
      </xdr:nvSpPr>
      <xdr:spPr>
        <a:xfrm>
          <a:off x="11589472" y="13170843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1516265</xdr:colOff>
      <xdr:row>90</xdr:row>
      <xdr:rowOff>740512</xdr:rowOff>
    </xdr:from>
    <xdr:to>
      <xdr:col>5</xdr:col>
      <xdr:colOff>1750727</xdr:colOff>
      <xdr:row>90</xdr:row>
      <xdr:rowOff>967646</xdr:rowOff>
    </xdr:to>
    <xdr:sp macro="" textlink="">
      <xdr:nvSpPr>
        <xdr:cNvPr id="1065" name="Organigramme : Jonction de sommaire 1064">
          <a:extLst>
            <a:ext uri="{FF2B5EF4-FFF2-40B4-BE49-F238E27FC236}">
              <a16:creationId xmlns:a16="http://schemas.microsoft.com/office/drawing/2014/main" id="{00000000-0008-0000-0A00-000029040000}"/>
            </a:ext>
          </a:extLst>
        </xdr:cNvPr>
        <xdr:cNvSpPr/>
      </xdr:nvSpPr>
      <xdr:spPr>
        <a:xfrm>
          <a:off x="12205432" y="13170926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685993</xdr:colOff>
      <xdr:row>90</xdr:row>
      <xdr:rowOff>1314730</xdr:rowOff>
    </xdr:from>
    <xdr:to>
      <xdr:col>5</xdr:col>
      <xdr:colOff>2031399</xdr:colOff>
      <xdr:row>90</xdr:row>
      <xdr:rowOff>1360449</xdr:rowOff>
    </xdr:to>
    <xdr:sp macro="" textlink="">
      <xdr:nvSpPr>
        <xdr:cNvPr id="1066" name="Rectangle 1065">
          <a:extLst>
            <a:ext uri="{FF2B5EF4-FFF2-40B4-BE49-F238E27FC236}">
              <a16:creationId xmlns:a16="http://schemas.microsoft.com/office/drawing/2014/main" id="{00000000-0008-0000-0A00-00002A040000}"/>
            </a:ext>
          </a:extLst>
        </xdr:cNvPr>
        <xdr:cNvSpPr/>
      </xdr:nvSpPr>
      <xdr:spPr>
        <a:xfrm>
          <a:off x="11375160" y="13228348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724958</xdr:colOff>
      <xdr:row>91</xdr:row>
      <xdr:rowOff>532341</xdr:rowOff>
    </xdr:from>
    <xdr:to>
      <xdr:col>5</xdr:col>
      <xdr:colOff>730401</xdr:colOff>
      <xdr:row>91</xdr:row>
      <xdr:rowOff>1602316</xdr:rowOff>
    </xdr:to>
    <xdr:cxnSp macro="">
      <xdr:nvCxnSpPr>
        <xdr:cNvPr id="1067" name="Connecteur droit 1066">
          <a:extLst>
            <a:ext uri="{FF2B5EF4-FFF2-40B4-BE49-F238E27FC236}">
              <a16:creationId xmlns:a16="http://schemas.microsoft.com/office/drawing/2014/main" id="{00000000-0008-0000-0A00-00002B040000}"/>
            </a:ext>
          </a:extLst>
        </xdr:cNvPr>
        <xdr:cNvCxnSpPr/>
      </xdr:nvCxnSpPr>
      <xdr:spPr>
        <a:xfrm>
          <a:off x="11414125" y="133533091"/>
          <a:ext cx="5443" cy="106997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822325</xdr:colOff>
      <xdr:row>91</xdr:row>
      <xdr:rowOff>398991</xdr:rowOff>
    </xdr:from>
    <xdr:to>
      <xdr:col>5</xdr:col>
      <xdr:colOff>1898650</xdr:colOff>
      <xdr:row>91</xdr:row>
      <xdr:rowOff>398991</xdr:rowOff>
    </xdr:to>
    <xdr:cxnSp macro="">
      <xdr:nvCxnSpPr>
        <xdr:cNvPr id="1068" name="Connecteur droit 1067">
          <a:extLst>
            <a:ext uri="{FF2B5EF4-FFF2-40B4-BE49-F238E27FC236}">
              <a16:creationId xmlns:a16="http://schemas.microsoft.com/office/drawing/2014/main" id="{00000000-0008-0000-0A00-00002C040000}"/>
            </a:ext>
          </a:extLst>
        </xdr:cNvPr>
        <xdr:cNvCxnSpPr/>
      </xdr:nvCxnSpPr>
      <xdr:spPr>
        <a:xfrm>
          <a:off x="11511492" y="133399741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837293</xdr:colOff>
      <xdr:row>91</xdr:row>
      <xdr:rowOff>1735666</xdr:rowOff>
    </xdr:from>
    <xdr:to>
      <xdr:col>5</xdr:col>
      <xdr:colOff>1913618</xdr:colOff>
      <xdr:row>91</xdr:row>
      <xdr:rowOff>1735666</xdr:rowOff>
    </xdr:to>
    <xdr:cxnSp macro="">
      <xdr:nvCxnSpPr>
        <xdr:cNvPr id="1069" name="Connecteur droit 1068">
          <a:extLst>
            <a:ext uri="{FF2B5EF4-FFF2-40B4-BE49-F238E27FC236}">
              <a16:creationId xmlns:a16="http://schemas.microsoft.com/office/drawing/2014/main" id="{00000000-0008-0000-0A00-00002D040000}"/>
            </a:ext>
          </a:extLst>
        </xdr:cNvPr>
        <xdr:cNvCxnSpPr/>
      </xdr:nvCxnSpPr>
      <xdr:spPr>
        <a:xfrm>
          <a:off x="11526460" y="134736416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669925</xdr:colOff>
      <xdr:row>91</xdr:row>
      <xdr:rowOff>379941</xdr:rowOff>
    </xdr:from>
    <xdr:to>
      <xdr:col>5</xdr:col>
      <xdr:colOff>822325</xdr:colOff>
      <xdr:row>91</xdr:row>
      <xdr:rowOff>532341</xdr:rowOff>
    </xdr:to>
    <xdr:sp macro="" textlink="">
      <xdr:nvSpPr>
        <xdr:cNvPr id="1070" name="Rectangle 1069">
          <a:extLst>
            <a:ext uri="{FF2B5EF4-FFF2-40B4-BE49-F238E27FC236}">
              <a16:creationId xmlns:a16="http://schemas.microsoft.com/office/drawing/2014/main" id="{00000000-0008-0000-0A00-00002E040000}"/>
            </a:ext>
          </a:extLst>
        </xdr:cNvPr>
        <xdr:cNvSpPr/>
      </xdr:nvSpPr>
      <xdr:spPr>
        <a:xfrm>
          <a:off x="11359092" y="133380691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675368</xdr:colOff>
      <xdr:row>91</xdr:row>
      <xdr:rowOff>1602316</xdr:rowOff>
    </xdr:from>
    <xdr:to>
      <xdr:col>5</xdr:col>
      <xdr:colOff>827768</xdr:colOff>
      <xdr:row>91</xdr:row>
      <xdr:rowOff>1754716</xdr:rowOff>
    </xdr:to>
    <xdr:sp macro="" textlink="">
      <xdr:nvSpPr>
        <xdr:cNvPr id="1071" name="Rectangle 1070">
          <a:extLst>
            <a:ext uri="{FF2B5EF4-FFF2-40B4-BE49-F238E27FC236}">
              <a16:creationId xmlns:a16="http://schemas.microsoft.com/office/drawing/2014/main" id="{00000000-0008-0000-0A00-00002F040000}"/>
            </a:ext>
          </a:extLst>
        </xdr:cNvPr>
        <xdr:cNvSpPr/>
      </xdr:nvSpPr>
      <xdr:spPr>
        <a:xfrm>
          <a:off x="11364535" y="134603066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1927225</xdr:colOff>
      <xdr:row>91</xdr:row>
      <xdr:rowOff>370416</xdr:rowOff>
    </xdr:from>
    <xdr:to>
      <xdr:col>5</xdr:col>
      <xdr:colOff>2079625</xdr:colOff>
      <xdr:row>91</xdr:row>
      <xdr:rowOff>522816</xdr:rowOff>
    </xdr:to>
    <xdr:sp macro="" textlink="">
      <xdr:nvSpPr>
        <xdr:cNvPr id="1072" name="Rectangle 1071">
          <a:extLst>
            <a:ext uri="{FF2B5EF4-FFF2-40B4-BE49-F238E27FC236}">
              <a16:creationId xmlns:a16="http://schemas.microsoft.com/office/drawing/2014/main" id="{00000000-0008-0000-0A00-000030040000}"/>
            </a:ext>
          </a:extLst>
        </xdr:cNvPr>
        <xdr:cNvSpPr/>
      </xdr:nvSpPr>
      <xdr:spPr>
        <a:xfrm>
          <a:off x="12616392" y="133371166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1923143</xdr:colOff>
      <xdr:row>91</xdr:row>
      <xdr:rowOff>1602316</xdr:rowOff>
    </xdr:from>
    <xdr:to>
      <xdr:col>5</xdr:col>
      <xdr:colOff>2075543</xdr:colOff>
      <xdr:row>91</xdr:row>
      <xdr:rowOff>1754716</xdr:rowOff>
    </xdr:to>
    <xdr:sp macro="" textlink="">
      <xdr:nvSpPr>
        <xdr:cNvPr id="1073" name="Rectangle 1072">
          <a:extLst>
            <a:ext uri="{FF2B5EF4-FFF2-40B4-BE49-F238E27FC236}">
              <a16:creationId xmlns:a16="http://schemas.microsoft.com/office/drawing/2014/main" id="{00000000-0008-0000-0A00-000031040000}"/>
            </a:ext>
          </a:extLst>
        </xdr:cNvPr>
        <xdr:cNvSpPr/>
      </xdr:nvSpPr>
      <xdr:spPr>
        <a:xfrm>
          <a:off x="12612310" y="134603066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2009927</xdr:colOff>
      <xdr:row>91</xdr:row>
      <xdr:rowOff>522816</xdr:rowOff>
    </xdr:from>
    <xdr:to>
      <xdr:col>5</xdr:col>
      <xdr:colOff>2014009</xdr:colOff>
      <xdr:row>91</xdr:row>
      <xdr:rowOff>1602316</xdr:rowOff>
    </xdr:to>
    <xdr:cxnSp macro="">
      <xdr:nvCxnSpPr>
        <xdr:cNvPr id="1077" name="Connecteur droit 1076">
          <a:extLst>
            <a:ext uri="{FF2B5EF4-FFF2-40B4-BE49-F238E27FC236}">
              <a16:creationId xmlns:a16="http://schemas.microsoft.com/office/drawing/2014/main" id="{00000000-0008-0000-0A00-000035040000}"/>
            </a:ext>
          </a:extLst>
        </xdr:cNvPr>
        <xdr:cNvCxnSpPr/>
      </xdr:nvCxnSpPr>
      <xdr:spPr>
        <a:xfrm flipH="1">
          <a:off x="12699094" y="133523566"/>
          <a:ext cx="4082" cy="107950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698500</xdr:colOff>
      <xdr:row>91</xdr:row>
      <xdr:rowOff>815389</xdr:rowOff>
    </xdr:from>
    <xdr:to>
      <xdr:col>5</xdr:col>
      <xdr:colOff>2043906</xdr:colOff>
      <xdr:row>91</xdr:row>
      <xdr:rowOff>861108</xdr:rowOff>
    </xdr:to>
    <xdr:sp macro="" textlink="">
      <xdr:nvSpPr>
        <xdr:cNvPr id="1078" name="Rectangle 1077">
          <a:extLst>
            <a:ext uri="{FF2B5EF4-FFF2-40B4-BE49-F238E27FC236}">
              <a16:creationId xmlns:a16="http://schemas.microsoft.com/office/drawing/2014/main" id="{00000000-0008-0000-0A00-000036040000}"/>
            </a:ext>
          </a:extLst>
        </xdr:cNvPr>
        <xdr:cNvSpPr/>
      </xdr:nvSpPr>
      <xdr:spPr>
        <a:xfrm>
          <a:off x="11387667" y="133816139"/>
          <a:ext cx="1345406" cy="45719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815637</xdr:colOff>
      <xdr:row>91</xdr:row>
      <xdr:rowOff>731212</xdr:rowOff>
    </xdr:from>
    <xdr:to>
      <xdr:col>5</xdr:col>
      <xdr:colOff>1050099</xdr:colOff>
      <xdr:row>91</xdr:row>
      <xdr:rowOff>958346</xdr:rowOff>
    </xdr:to>
    <xdr:sp macro="" textlink="">
      <xdr:nvSpPr>
        <xdr:cNvPr id="1079" name="Organigramme : Jonction de sommaire 1078">
          <a:extLst>
            <a:ext uri="{FF2B5EF4-FFF2-40B4-BE49-F238E27FC236}">
              <a16:creationId xmlns:a16="http://schemas.microsoft.com/office/drawing/2014/main" id="{00000000-0008-0000-0A00-000037040000}"/>
            </a:ext>
          </a:extLst>
        </xdr:cNvPr>
        <xdr:cNvSpPr/>
      </xdr:nvSpPr>
      <xdr:spPr>
        <a:xfrm>
          <a:off x="11504804" y="13373196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1664431</xdr:colOff>
      <xdr:row>91</xdr:row>
      <xdr:rowOff>732044</xdr:rowOff>
    </xdr:from>
    <xdr:to>
      <xdr:col>5</xdr:col>
      <xdr:colOff>1898893</xdr:colOff>
      <xdr:row>91</xdr:row>
      <xdr:rowOff>959178</xdr:rowOff>
    </xdr:to>
    <xdr:sp macro="" textlink="">
      <xdr:nvSpPr>
        <xdr:cNvPr id="1080" name="Organigramme : Jonction de sommaire 1079">
          <a:extLst>
            <a:ext uri="{FF2B5EF4-FFF2-40B4-BE49-F238E27FC236}">
              <a16:creationId xmlns:a16="http://schemas.microsoft.com/office/drawing/2014/main" id="{00000000-0008-0000-0A00-000038040000}"/>
            </a:ext>
          </a:extLst>
        </xdr:cNvPr>
        <xdr:cNvSpPr/>
      </xdr:nvSpPr>
      <xdr:spPr>
        <a:xfrm>
          <a:off x="12353598" y="133732794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707159</xdr:colOff>
      <xdr:row>91</xdr:row>
      <xdr:rowOff>1282979</xdr:rowOff>
    </xdr:from>
    <xdr:to>
      <xdr:col>5</xdr:col>
      <xdr:colOff>2052565</xdr:colOff>
      <xdr:row>91</xdr:row>
      <xdr:rowOff>1328698</xdr:rowOff>
    </xdr:to>
    <xdr:sp macro="" textlink="">
      <xdr:nvSpPr>
        <xdr:cNvPr id="1081" name="Rectangle 1080">
          <a:extLst>
            <a:ext uri="{FF2B5EF4-FFF2-40B4-BE49-F238E27FC236}">
              <a16:creationId xmlns:a16="http://schemas.microsoft.com/office/drawing/2014/main" id="{00000000-0008-0000-0A00-000039040000}"/>
            </a:ext>
          </a:extLst>
        </xdr:cNvPr>
        <xdr:cNvSpPr/>
      </xdr:nvSpPr>
      <xdr:spPr>
        <a:xfrm>
          <a:off x="11396326" y="134283729"/>
          <a:ext cx="1345406" cy="45719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824297</xdr:colOff>
      <xdr:row>91</xdr:row>
      <xdr:rowOff>1198802</xdr:rowOff>
    </xdr:from>
    <xdr:to>
      <xdr:col>5</xdr:col>
      <xdr:colOff>1058759</xdr:colOff>
      <xdr:row>91</xdr:row>
      <xdr:rowOff>1425936</xdr:rowOff>
    </xdr:to>
    <xdr:sp macro="" textlink="">
      <xdr:nvSpPr>
        <xdr:cNvPr id="1082" name="Organigramme : Jonction de sommaire 1081">
          <a:extLst>
            <a:ext uri="{FF2B5EF4-FFF2-40B4-BE49-F238E27FC236}">
              <a16:creationId xmlns:a16="http://schemas.microsoft.com/office/drawing/2014/main" id="{00000000-0008-0000-0A00-00003A040000}"/>
            </a:ext>
          </a:extLst>
        </xdr:cNvPr>
        <xdr:cNvSpPr/>
      </xdr:nvSpPr>
      <xdr:spPr>
        <a:xfrm>
          <a:off x="11513464" y="13419955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1651923</xdr:colOff>
      <xdr:row>91</xdr:row>
      <xdr:rowOff>1199634</xdr:rowOff>
    </xdr:from>
    <xdr:to>
      <xdr:col>5</xdr:col>
      <xdr:colOff>1886385</xdr:colOff>
      <xdr:row>91</xdr:row>
      <xdr:rowOff>1426768</xdr:rowOff>
    </xdr:to>
    <xdr:sp macro="" textlink="">
      <xdr:nvSpPr>
        <xdr:cNvPr id="1083" name="Organigramme : Jonction de sommaire 1082">
          <a:extLst>
            <a:ext uri="{FF2B5EF4-FFF2-40B4-BE49-F238E27FC236}">
              <a16:creationId xmlns:a16="http://schemas.microsoft.com/office/drawing/2014/main" id="{00000000-0008-0000-0A00-00003B040000}"/>
            </a:ext>
          </a:extLst>
        </xdr:cNvPr>
        <xdr:cNvSpPr/>
      </xdr:nvSpPr>
      <xdr:spPr>
        <a:xfrm>
          <a:off x="12341090" y="134200384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1526116</xdr:colOff>
      <xdr:row>87</xdr:row>
      <xdr:rowOff>1192741</xdr:rowOff>
    </xdr:from>
    <xdr:to>
      <xdr:col>5</xdr:col>
      <xdr:colOff>1760578</xdr:colOff>
      <xdr:row>87</xdr:row>
      <xdr:rowOff>1419875</xdr:rowOff>
    </xdr:to>
    <xdr:sp macro="" textlink="">
      <xdr:nvSpPr>
        <xdr:cNvPr id="1084" name="Organigramme : Jonction de sommaire 1083">
          <a:extLst>
            <a:ext uri="{FF2B5EF4-FFF2-40B4-BE49-F238E27FC236}">
              <a16:creationId xmlns:a16="http://schemas.microsoft.com/office/drawing/2014/main" id="{00000000-0008-0000-0A00-00003C040000}"/>
            </a:ext>
          </a:extLst>
        </xdr:cNvPr>
        <xdr:cNvSpPr/>
      </xdr:nvSpPr>
      <xdr:spPr>
        <a:xfrm>
          <a:off x="12215283" y="12606549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897466</xdr:colOff>
      <xdr:row>87</xdr:row>
      <xdr:rowOff>1183216</xdr:rowOff>
    </xdr:from>
    <xdr:to>
      <xdr:col>5</xdr:col>
      <xdr:colOff>1131928</xdr:colOff>
      <xdr:row>87</xdr:row>
      <xdr:rowOff>1410350</xdr:rowOff>
    </xdr:to>
    <xdr:sp macro="" textlink="">
      <xdr:nvSpPr>
        <xdr:cNvPr id="1085" name="Organigramme : Jonction de sommaire 1084">
          <a:extLst>
            <a:ext uri="{FF2B5EF4-FFF2-40B4-BE49-F238E27FC236}">
              <a16:creationId xmlns:a16="http://schemas.microsoft.com/office/drawing/2014/main" id="{00000000-0008-0000-0A00-00003D040000}"/>
            </a:ext>
          </a:extLst>
        </xdr:cNvPr>
        <xdr:cNvSpPr/>
      </xdr:nvSpPr>
      <xdr:spPr>
        <a:xfrm>
          <a:off x="11586633" y="12605596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1506009</xdr:colOff>
      <xdr:row>90</xdr:row>
      <xdr:rowOff>1224492</xdr:rowOff>
    </xdr:from>
    <xdr:to>
      <xdr:col>5</xdr:col>
      <xdr:colOff>1740471</xdr:colOff>
      <xdr:row>90</xdr:row>
      <xdr:rowOff>1451626</xdr:rowOff>
    </xdr:to>
    <xdr:sp macro="" textlink="">
      <xdr:nvSpPr>
        <xdr:cNvPr id="1086" name="Organigramme : Jonction de sommaire 1085">
          <a:extLst>
            <a:ext uri="{FF2B5EF4-FFF2-40B4-BE49-F238E27FC236}">
              <a16:creationId xmlns:a16="http://schemas.microsoft.com/office/drawing/2014/main" id="{00000000-0008-0000-0A00-00003E040000}"/>
            </a:ext>
          </a:extLst>
        </xdr:cNvPr>
        <xdr:cNvSpPr/>
      </xdr:nvSpPr>
      <xdr:spPr>
        <a:xfrm>
          <a:off x="12195176" y="13219324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886884</xdr:colOff>
      <xdr:row>90</xdr:row>
      <xdr:rowOff>1214967</xdr:rowOff>
    </xdr:from>
    <xdr:to>
      <xdr:col>5</xdr:col>
      <xdr:colOff>1121346</xdr:colOff>
      <xdr:row>90</xdr:row>
      <xdr:rowOff>1442101</xdr:rowOff>
    </xdr:to>
    <xdr:sp macro="" textlink="">
      <xdr:nvSpPr>
        <xdr:cNvPr id="1087" name="Organigramme : Jonction de sommaire 1086">
          <a:extLst>
            <a:ext uri="{FF2B5EF4-FFF2-40B4-BE49-F238E27FC236}">
              <a16:creationId xmlns:a16="http://schemas.microsoft.com/office/drawing/2014/main" id="{00000000-0008-0000-0A00-00003F040000}"/>
            </a:ext>
          </a:extLst>
        </xdr:cNvPr>
        <xdr:cNvSpPr/>
      </xdr:nvSpPr>
      <xdr:spPr>
        <a:xfrm>
          <a:off x="11576051" y="13218371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1262024</xdr:colOff>
      <xdr:row>88</xdr:row>
      <xdr:rowOff>725439</xdr:rowOff>
    </xdr:from>
    <xdr:to>
      <xdr:col>5</xdr:col>
      <xdr:colOff>1496486</xdr:colOff>
      <xdr:row>88</xdr:row>
      <xdr:rowOff>952573</xdr:rowOff>
    </xdr:to>
    <xdr:sp macro="" textlink="">
      <xdr:nvSpPr>
        <xdr:cNvPr id="956" name="Organigramme : Jonction de sommaire 955">
          <a:extLst>
            <a:ext uri="{FF2B5EF4-FFF2-40B4-BE49-F238E27FC236}">
              <a16:creationId xmlns:a16="http://schemas.microsoft.com/office/drawing/2014/main" id="{00000000-0008-0000-0A00-0000BC030000}"/>
            </a:ext>
          </a:extLst>
        </xdr:cNvPr>
        <xdr:cNvSpPr/>
      </xdr:nvSpPr>
      <xdr:spPr>
        <a:xfrm>
          <a:off x="11951191" y="12763018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1270481</xdr:colOff>
      <xdr:row>88</xdr:row>
      <xdr:rowOff>1200857</xdr:rowOff>
    </xdr:from>
    <xdr:to>
      <xdr:col>5</xdr:col>
      <xdr:colOff>1504943</xdr:colOff>
      <xdr:row>88</xdr:row>
      <xdr:rowOff>1427991</xdr:rowOff>
    </xdr:to>
    <xdr:sp macro="" textlink="">
      <xdr:nvSpPr>
        <xdr:cNvPr id="955" name="Organigramme : Jonction de sommaire 954">
          <a:extLst>
            <a:ext uri="{FF2B5EF4-FFF2-40B4-BE49-F238E27FC236}">
              <a16:creationId xmlns:a16="http://schemas.microsoft.com/office/drawing/2014/main" id="{00000000-0008-0000-0A00-0000BB030000}"/>
            </a:ext>
          </a:extLst>
        </xdr:cNvPr>
        <xdr:cNvSpPr/>
      </xdr:nvSpPr>
      <xdr:spPr>
        <a:xfrm>
          <a:off x="11959648" y="12810560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1262023</xdr:colOff>
      <xdr:row>91</xdr:row>
      <xdr:rowOff>736023</xdr:rowOff>
    </xdr:from>
    <xdr:to>
      <xdr:col>5</xdr:col>
      <xdr:colOff>1496485</xdr:colOff>
      <xdr:row>91</xdr:row>
      <xdr:rowOff>963157</xdr:rowOff>
    </xdr:to>
    <xdr:sp macro="" textlink="">
      <xdr:nvSpPr>
        <xdr:cNvPr id="1076" name="Organigramme : Jonction de sommaire 1075">
          <a:extLst>
            <a:ext uri="{FF2B5EF4-FFF2-40B4-BE49-F238E27FC236}">
              <a16:creationId xmlns:a16="http://schemas.microsoft.com/office/drawing/2014/main" id="{00000000-0008-0000-0A00-000034040000}"/>
            </a:ext>
          </a:extLst>
        </xdr:cNvPr>
        <xdr:cNvSpPr/>
      </xdr:nvSpPr>
      <xdr:spPr>
        <a:xfrm>
          <a:off x="11951190" y="1337367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1270480</xdr:colOff>
      <xdr:row>91</xdr:row>
      <xdr:rowOff>1211440</xdr:rowOff>
    </xdr:from>
    <xdr:to>
      <xdr:col>5</xdr:col>
      <xdr:colOff>1504942</xdr:colOff>
      <xdr:row>91</xdr:row>
      <xdr:rowOff>1438574</xdr:rowOff>
    </xdr:to>
    <xdr:sp macro="" textlink="">
      <xdr:nvSpPr>
        <xdr:cNvPr id="1075" name="Organigramme : Jonction de sommaire 1074">
          <a:extLst>
            <a:ext uri="{FF2B5EF4-FFF2-40B4-BE49-F238E27FC236}">
              <a16:creationId xmlns:a16="http://schemas.microsoft.com/office/drawing/2014/main" id="{00000000-0008-0000-0A00-000033040000}"/>
            </a:ext>
          </a:extLst>
        </xdr:cNvPr>
        <xdr:cNvSpPr/>
      </xdr:nvSpPr>
      <xdr:spPr>
        <a:xfrm>
          <a:off x="11959647" y="13421219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1975235</xdr:colOff>
      <xdr:row>96</xdr:row>
      <xdr:rowOff>543984</xdr:rowOff>
    </xdr:from>
    <xdr:to>
      <xdr:col>5</xdr:col>
      <xdr:colOff>1982259</xdr:colOff>
      <xdr:row>96</xdr:row>
      <xdr:rowOff>1555791</xdr:rowOff>
    </xdr:to>
    <xdr:cxnSp macro="">
      <xdr:nvCxnSpPr>
        <xdr:cNvPr id="1088" name="Connecteur droit 1087">
          <a:extLst>
            <a:ext uri="{FF2B5EF4-FFF2-40B4-BE49-F238E27FC236}">
              <a16:creationId xmlns:a16="http://schemas.microsoft.com/office/drawing/2014/main" id="{00000000-0008-0000-0A00-000040040000}"/>
            </a:ext>
          </a:extLst>
        </xdr:cNvPr>
        <xdr:cNvCxnSpPr>
          <a:stCxn id="1128" idx="2"/>
        </xdr:cNvCxnSpPr>
      </xdr:nvCxnSpPr>
      <xdr:spPr>
        <a:xfrm flipH="1">
          <a:off x="12664402" y="131512734"/>
          <a:ext cx="7024" cy="1011807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669925</xdr:colOff>
      <xdr:row>92</xdr:row>
      <xdr:rowOff>189441</xdr:rowOff>
    </xdr:from>
    <xdr:to>
      <xdr:col>5</xdr:col>
      <xdr:colOff>822325</xdr:colOff>
      <xdr:row>92</xdr:row>
      <xdr:rowOff>341841</xdr:rowOff>
    </xdr:to>
    <xdr:sp macro="" textlink="">
      <xdr:nvSpPr>
        <xdr:cNvPr id="1089" name="Rectangle 1088">
          <a:extLst>
            <a:ext uri="{FF2B5EF4-FFF2-40B4-BE49-F238E27FC236}">
              <a16:creationId xmlns:a16="http://schemas.microsoft.com/office/drawing/2014/main" id="{00000000-0008-0000-0A00-000041040000}"/>
            </a:ext>
          </a:extLst>
        </xdr:cNvPr>
        <xdr:cNvSpPr/>
      </xdr:nvSpPr>
      <xdr:spPr>
        <a:xfrm>
          <a:off x="11359092" y="12303019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675369</xdr:colOff>
      <xdr:row>92</xdr:row>
      <xdr:rowOff>1454150</xdr:rowOff>
    </xdr:from>
    <xdr:to>
      <xdr:col>5</xdr:col>
      <xdr:colOff>827769</xdr:colOff>
      <xdr:row>92</xdr:row>
      <xdr:rowOff>1606550</xdr:rowOff>
    </xdr:to>
    <xdr:sp macro="" textlink="">
      <xdr:nvSpPr>
        <xdr:cNvPr id="1090" name="Rectangle 1089">
          <a:extLst>
            <a:ext uri="{FF2B5EF4-FFF2-40B4-BE49-F238E27FC236}">
              <a16:creationId xmlns:a16="http://schemas.microsoft.com/office/drawing/2014/main" id="{00000000-0008-0000-0A00-000042040000}"/>
            </a:ext>
          </a:extLst>
        </xdr:cNvPr>
        <xdr:cNvSpPr/>
      </xdr:nvSpPr>
      <xdr:spPr>
        <a:xfrm>
          <a:off x="11364536" y="1242949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1927225</xdr:colOff>
      <xdr:row>92</xdr:row>
      <xdr:rowOff>179916</xdr:rowOff>
    </xdr:from>
    <xdr:to>
      <xdr:col>5</xdr:col>
      <xdr:colOff>2079625</xdr:colOff>
      <xdr:row>92</xdr:row>
      <xdr:rowOff>332316</xdr:rowOff>
    </xdr:to>
    <xdr:sp macro="" textlink="">
      <xdr:nvSpPr>
        <xdr:cNvPr id="1091" name="Rectangle 1090">
          <a:extLst>
            <a:ext uri="{FF2B5EF4-FFF2-40B4-BE49-F238E27FC236}">
              <a16:creationId xmlns:a16="http://schemas.microsoft.com/office/drawing/2014/main" id="{00000000-0008-0000-0A00-000043040000}"/>
            </a:ext>
          </a:extLst>
        </xdr:cNvPr>
        <xdr:cNvSpPr/>
      </xdr:nvSpPr>
      <xdr:spPr>
        <a:xfrm>
          <a:off x="12616392" y="12302066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1923144</xdr:colOff>
      <xdr:row>92</xdr:row>
      <xdr:rowOff>1454150</xdr:rowOff>
    </xdr:from>
    <xdr:to>
      <xdr:col>5</xdr:col>
      <xdr:colOff>2075544</xdr:colOff>
      <xdr:row>92</xdr:row>
      <xdr:rowOff>1606550</xdr:rowOff>
    </xdr:to>
    <xdr:sp macro="" textlink="">
      <xdr:nvSpPr>
        <xdr:cNvPr id="1092" name="Rectangle 1091">
          <a:extLst>
            <a:ext uri="{FF2B5EF4-FFF2-40B4-BE49-F238E27FC236}">
              <a16:creationId xmlns:a16="http://schemas.microsoft.com/office/drawing/2014/main" id="{00000000-0008-0000-0A00-000044040000}"/>
            </a:ext>
          </a:extLst>
        </xdr:cNvPr>
        <xdr:cNvSpPr/>
      </xdr:nvSpPr>
      <xdr:spPr>
        <a:xfrm>
          <a:off x="12612311" y="1242949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698500</xdr:colOff>
      <xdr:row>92</xdr:row>
      <xdr:rowOff>677806</xdr:rowOff>
    </xdr:from>
    <xdr:to>
      <xdr:col>5</xdr:col>
      <xdr:colOff>2043906</xdr:colOff>
      <xdr:row>92</xdr:row>
      <xdr:rowOff>723525</xdr:rowOff>
    </xdr:to>
    <xdr:sp macro="" textlink="">
      <xdr:nvSpPr>
        <xdr:cNvPr id="1093" name="Rectangle 1092">
          <a:extLst>
            <a:ext uri="{FF2B5EF4-FFF2-40B4-BE49-F238E27FC236}">
              <a16:creationId xmlns:a16="http://schemas.microsoft.com/office/drawing/2014/main" id="{00000000-0008-0000-0A00-000045040000}"/>
            </a:ext>
          </a:extLst>
        </xdr:cNvPr>
        <xdr:cNvSpPr/>
      </xdr:nvSpPr>
      <xdr:spPr>
        <a:xfrm>
          <a:off x="11387667" y="123518556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707159</xdr:colOff>
      <xdr:row>92</xdr:row>
      <xdr:rowOff>1145396</xdr:rowOff>
    </xdr:from>
    <xdr:to>
      <xdr:col>5</xdr:col>
      <xdr:colOff>2052565</xdr:colOff>
      <xdr:row>92</xdr:row>
      <xdr:rowOff>1191115</xdr:rowOff>
    </xdr:to>
    <xdr:sp macro="" textlink="">
      <xdr:nvSpPr>
        <xdr:cNvPr id="1094" name="Rectangle 1093">
          <a:extLst>
            <a:ext uri="{FF2B5EF4-FFF2-40B4-BE49-F238E27FC236}">
              <a16:creationId xmlns:a16="http://schemas.microsoft.com/office/drawing/2014/main" id="{00000000-0008-0000-0A00-000046040000}"/>
            </a:ext>
          </a:extLst>
        </xdr:cNvPr>
        <xdr:cNvSpPr/>
      </xdr:nvSpPr>
      <xdr:spPr>
        <a:xfrm>
          <a:off x="11396326" y="123986146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659341</xdr:colOff>
      <xdr:row>93</xdr:row>
      <xdr:rowOff>369358</xdr:rowOff>
    </xdr:from>
    <xdr:to>
      <xdr:col>5</xdr:col>
      <xdr:colOff>811741</xdr:colOff>
      <xdr:row>93</xdr:row>
      <xdr:rowOff>521758</xdr:rowOff>
    </xdr:to>
    <xdr:sp macro="" textlink="">
      <xdr:nvSpPr>
        <xdr:cNvPr id="1095" name="Rectangle 1094">
          <a:extLst>
            <a:ext uri="{FF2B5EF4-FFF2-40B4-BE49-F238E27FC236}">
              <a16:creationId xmlns:a16="http://schemas.microsoft.com/office/drawing/2014/main" id="{00000000-0008-0000-0A00-000047040000}"/>
            </a:ext>
          </a:extLst>
        </xdr:cNvPr>
        <xdr:cNvSpPr/>
      </xdr:nvSpPr>
      <xdr:spPr>
        <a:xfrm>
          <a:off x="11348508" y="12524210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664784</xdr:colOff>
      <xdr:row>93</xdr:row>
      <xdr:rowOff>1602316</xdr:rowOff>
    </xdr:from>
    <xdr:to>
      <xdr:col>5</xdr:col>
      <xdr:colOff>817184</xdr:colOff>
      <xdr:row>93</xdr:row>
      <xdr:rowOff>1754716</xdr:rowOff>
    </xdr:to>
    <xdr:sp macro="" textlink="">
      <xdr:nvSpPr>
        <xdr:cNvPr id="1096" name="Rectangle 1095">
          <a:extLst>
            <a:ext uri="{FF2B5EF4-FFF2-40B4-BE49-F238E27FC236}">
              <a16:creationId xmlns:a16="http://schemas.microsoft.com/office/drawing/2014/main" id="{00000000-0008-0000-0A00-000048040000}"/>
            </a:ext>
          </a:extLst>
        </xdr:cNvPr>
        <xdr:cNvSpPr/>
      </xdr:nvSpPr>
      <xdr:spPr>
        <a:xfrm>
          <a:off x="11353951" y="12647506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1916641</xdr:colOff>
      <xdr:row>93</xdr:row>
      <xdr:rowOff>359833</xdr:rowOff>
    </xdr:from>
    <xdr:to>
      <xdr:col>5</xdr:col>
      <xdr:colOff>2069041</xdr:colOff>
      <xdr:row>93</xdr:row>
      <xdr:rowOff>512233</xdr:rowOff>
    </xdr:to>
    <xdr:sp macro="" textlink="">
      <xdr:nvSpPr>
        <xdr:cNvPr id="1097" name="Rectangle 1096">
          <a:extLst>
            <a:ext uri="{FF2B5EF4-FFF2-40B4-BE49-F238E27FC236}">
              <a16:creationId xmlns:a16="http://schemas.microsoft.com/office/drawing/2014/main" id="{00000000-0008-0000-0A00-000049040000}"/>
            </a:ext>
          </a:extLst>
        </xdr:cNvPr>
        <xdr:cNvSpPr/>
      </xdr:nvSpPr>
      <xdr:spPr>
        <a:xfrm>
          <a:off x="12605808" y="12523258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1912559</xdr:colOff>
      <xdr:row>93</xdr:row>
      <xdr:rowOff>1602316</xdr:rowOff>
    </xdr:from>
    <xdr:to>
      <xdr:col>5</xdr:col>
      <xdr:colOff>2064959</xdr:colOff>
      <xdr:row>93</xdr:row>
      <xdr:rowOff>1754716</xdr:rowOff>
    </xdr:to>
    <xdr:sp macro="" textlink="">
      <xdr:nvSpPr>
        <xdr:cNvPr id="1098" name="Rectangle 1097">
          <a:extLst>
            <a:ext uri="{FF2B5EF4-FFF2-40B4-BE49-F238E27FC236}">
              <a16:creationId xmlns:a16="http://schemas.microsoft.com/office/drawing/2014/main" id="{00000000-0008-0000-0A00-00004A040000}"/>
            </a:ext>
          </a:extLst>
        </xdr:cNvPr>
        <xdr:cNvSpPr/>
      </xdr:nvSpPr>
      <xdr:spPr>
        <a:xfrm>
          <a:off x="12601726" y="12647506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677092</xdr:colOff>
      <xdr:row>93</xdr:row>
      <xdr:rowOff>798201</xdr:rowOff>
    </xdr:from>
    <xdr:to>
      <xdr:col>5</xdr:col>
      <xdr:colOff>2022498</xdr:colOff>
      <xdr:row>93</xdr:row>
      <xdr:rowOff>843920</xdr:rowOff>
    </xdr:to>
    <xdr:sp macro="" textlink="">
      <xdr:nvSpPr>
        <xdr:cNvPr id="1099" name="Rectangle 1098">
          <a:extLst>
            <a:ext uri="{FF2B5EF4-FFF2-40B4-BE49-F238E27FC236}">
              <a16:creationId xmlns:a16="http://schemas.microsoft.com/office/drawing/2014/main" id="{00000000-0008-0000-0A00-00004B040000}"/>
            </a:ext>
          </a:extLst>
        </xdr:cNvPr>
        <xdr:cNvSpPr/>
      </xdr:nvSpPr>
      <xdr:spPr>
        <a:xfrm>
          <a:off x="11366259" y="125670951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891837</xdr:colOff>
      <xdr:row>93</xdr:row>
      <xdr:rowOff>698404</xdr:rowOff>
    </xdr:from>
    <xdr:to>
      <xdr:col>5</xdr:col>
      <xdr:colOff>1126299</xdr:colOff>
      <xdr:row>93</xdr:row>
      <xdr:rowOff>925538</xdr:rowOff>
    </xdr:to>
    <xdr:sp macro="" textlink="">
      <xdr:nvSpPr>
        <xdr:cNvPr id="1100" name="Organigramme : Jonction de sommaire 1099">
          <a:extLst>
            <a:ext uri="{FF2B5EF4-FFF2-40B4-BE49-F238E27FC236}">
              <a16:creationId xmlns:a16="http://schemas.microsoft.com/office/drawing/2014/main" id="{00000000-0008-0000-0A00-00004C040000}"/>
            </a:ext>
          </a:extLst>
        </xdr:cNvPr>
        <xdr:cNvSpPr/>
      </xdr:nvSpPr>
      <xdr:spPr>
        <a:xfrm>
          <a:off x="11581004" y="125571154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1536372</xdr:colOff>
      <xdr:row>93</xdr:row>
      <xdr:rowOff>718286</xdr:rowOff>
    </xdr:from>
    <xdr:to>
      <xdr:col>5</xdr:col>
      <xdr:colOff>1770834</xdr:colOff>
      <xdr:row>93</xdr:row>
      <xdr:rowOff>945420</xdr:rowOff>
    </xdr:to>
    <xdr:sp macro="" textlink="">
      <xdr:nvSpPr>
        <xdr:cNvPr id="1101" name="Organigramme : Jonction de sommaire 1100">
          <a:extLst>
            <a:ext uri="{FF2B5EF4-FFF2-40B4-BE49-F238E27FC236}">
              <a16:creationId xmlns:a16="http://schemas.microsoft.com/office/drawing/2014/main" id="{00000000-0008-0000-0A00-00004D040000}"/>
            </a:ext>
          </a:extLst>
        </xdr:cNvPr>
        <xdr:cNvSpPr/>
      </xdr:nvSpPr>
      <xdr:spPr>
        <a:xfrm>
          <a:off x="12225539" y="12559103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696575</xdr:colOff>
      <xdr:row>93</xdr:row>
      <xdr:rowOff>1282979</xdr:rowOff>
    </xdr:from>
    <xdr:to>
      <xdr:col>5</xdr:col>
      <xdr:colOff>2041981</xdr:colOff>
      <xdr:row>93</xdr:row>
      <xdr:rowOff>1328698</xdr:rowOff>
    </xdr:to>
    <xdr:sp macro="" textlink="">
      <xdr:nvSpPr>
        <xdr:cNvPr id="1102" name="Rectangle 1101">
          <a:extLst>
            <a:ext uri="{FF2B5EF4-FFF2-40B4-BE49-F238E27FC236}">
              <a16:creationId xmlns:a16="http://schemas.microsoft.com/office/drawing/2014/main" id="{00000000-0008-0000-0A00-00004E040000}"/>
            </a:ext>
          </a:extLst>
        </xdr:cNvPr>
        <xdr:cNvSpPr/>
      </xdr:nvSpPr>
      <xdr:spPr>
        <a:xfrm>
          <a:off x="11385742" y="126155729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659342</xdr:colOff>
      <xdr:row>94</xdr:row>
      <xdr:rowOff>358775</xdr:rowOff>
    </xdr:from>
    <xdr:to>
      <xdr:col>5</xdr:col>
      <xdr:colOff>811742</xdr:colOff>
      <xdr:row>94</xdr:row>
      <xdr:rowOff>511175</xdr:rowOff>
    </xdr:to>
    <xdr:sp macro="" textlink="">
      <xdr:nvSpPr>
        <xdr:cNvPr id="1103" name="Rectangle 1102">
          <a:extLst>
            <a:ext uri="{FF2B5EF4-FFF2-40B4-BE49-F238E27FC236}">
              <a16:creationId xmlns:a16="http://schemas.microsoft.com/office/drawing/2014/main" id="{00000000-0008-0000-0A00-00004F040000}"/>
            </a:ext>
          </a:extLst>
        </xdr:cNvPr>
        <xdr:cNvSpPr/>
      </xdr:nvSpPr>
      <xdr:spPr>
        <a:xfrm>
          <a:off x="11348509" y="1272635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664785</xdr:colOff>
      <xdr:row>94</xdr:row>
      <xdr:rowOff>1612900</xdr:rowOff>
    </xdr:from>
    <xdr:to>
      <xdr:col>5</xdr:col>
      <xdr:colOff>817185</xdr:colOff>
      <xdr:row>94</xdr:row>
      <xdr:rowOff>1765300</xdr:rowOff>
    </xdr:to>
    <xdr:sp macro="" textlink="">
      <xdr:nvSpPr>
        <xdr:cNvPr id="1104" name="Rectangle 1103">
          <a:extLst>
            <a:ext uri="{FF2B5EF4-FFF2-40B4-BE49-F238E27FC236}">
              <a16:creationId xmlns:a16="http://schemas.microsoft.com/office/drawing/2014/main" id="{00000000-0008-0000-0A00-000050040000}"/>
            </a:ext>
          </a:extLst>
        </xdr:cNvPr>
        <xdr:cNvSpPr/>
      </xdr:nvSpPr>
      <xdr:spPr>
        <a:xfrm>
          <a:off x="11353952" y="1285176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1916642</xdr:colOff>
      <xdr:row>94</xdr:row>
      <xdr:rowOff>349250</xdr:rowOff>
    </xdr:from>
    <xdr:to>
      <xdr:col>5</xdr:col>
      <xdr:colOff>2069042</xdr:colOff>
      <xdr:row>94</xdr:row>
      <xdr:rowOff>501650</xdr:rowOff>
    </xdr:to>
    <xdr:sp macro="" textlink="">
      <xdr:nvSpPr>
        <xdr:cNvPr id="1105" name="Rectangle 1104">
          <a:extLst>
            <a:ext uri="{FF2B5EF4-FFF2-40B4-BE49-F238E27FC236}">
              <a16:creationId xmlns:a16="http://schemas.microsoft.com/office/drawing/2014/main" id="{00000000-0008-0000-0A00-000051040000}"/>
            </a:ext>
          </a:extLst>
        </xdr:cNvPr>
        <xdr:cNvSpPr/>
      </xdr:nvSpPr>
      <xdr:spPr>
        <a:xfrm>
          <a:off x="12605809" y="1272540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1912560</xdr:colOff>
      <xdr:row>94</xdr:row>
      <xdr:rowOff>1612900</xdr:rowOff>
    </xdr:from>
    <xdr:to>
      <xdr:col>5</xdr:col>
      <xdr:colOff>2064960</xdr:colOff>
      <xdr:row>94</xdr:row>
      <xdr:rowOff>1765300</xdr:rowOff>
    </xdr:to>
    <xdr:sp macro="" textlink="">
      <xdr:nvSpPr>
        <xdr:cNvPr id="1106" name="Rectangle 1105">
          <a:extLst>
            <a:ext uri="{FF2B5EF4-FFF2-40B4-BE49-F238E27FC236}">
              <a16:creationId xmlns:a16="http://schemas.microsoft.com/office/drawing/2014/main" id="{00000000-0008-0000-0A00-000052040000}"/>
            </a:ext>
          </a:extLst>
        </xdr:cNvPr>
        <xdr:cNvSpPr/>
      </xdr:nvSpPr>
      <xdr:spPr>
        <a:xfrm>
          <a:off x="12601727" y="1285176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687917</xdr:colOff>
      <xdr:row>94</xdr:row>
      <xdr:rowOff>825973</xdr:rowOff>
    </xdr:from>
    <xdr:to>
      <xdr:col>5</xdr:col>
      <xdr:colOff>2033323</xdr:colOff>
      <xdr:row>94</xdr:row>
      <xdr:rowOff>871692</xdr:rowOff>
    </xdr:to>
    <xdr:sp macro="" textlink="">
      <xdr:nvSpPr>
        <xdr:cNvPr id="1107" name="Rectangle 1106">
          <a:extLst>
            <a:ext uri="{FF2B5EF4-FFF2-40B4-BE49-F238E27FC236}">
              <a16:creationId xmlns:a16="http://schemas.microsoft.com/office/drawing/2014/main" id="{00000000-0008-0000-0A00-000053040000}"/>
            </a:ext>
          </a:extLst>
        </xdr:cNvPr>
        <xdr:cNvSpPr/>
      </xdr:nvSpPr>
      <xdr:spPr>
        <a:xfrm>
          <a:off x="11377084" y="12773072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857971</xdr:colOff>
      <xdr:row>94</xdr:row>
      <xdr:rowOff>741796</xdr:rowOff>
    </xdr:from>
    <xdr:to>
      <xdr:col>5</xdr:col>
      <xdr:colOff>1092433</xdr:colOff>
      <xdr:row>94</xdr:row>
      <xdr:rowOff>968930</xdr:rowOff>
    </xdr:to>
    <xdr:sp macro="" textlink="">
      <xdr:nvSpPr>
        <xdr:cNvPr id="1108" name="Organigramme : Jonction de sommaire 1107">
          <a:extLst>
            <a:ext uri="{FF2B5EF4-FFF2-40B4-BE49-F238E27FC236}">
              <a16:creationId xmlns:a16="http://schemas.microsoft.com/office/drawing/2014/main" id="{00000000-0008-0000-0A00-000054040000}"/>
            </a:ext>
          </a:extLst>
        </xdr:cNvPr>
        <xdr:cNvSpPr/>
      </xdr:nvSpPr>
      <xdr:spPr>
        <a:xfrm>
          <a:off x="11547138" y="12764654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1643264</xdr:colOff>
      <xdr:row>94</xdr:row>
      <xdr:rowOff>742628</xdr:rowOff>
    </xdr:from>
    <xdr:to>
      <xdr:col>5</xdr:col>
      <xdr:colOff>1877726</xdr:colOff>
      <xdr:row>94</xdr:row>
      <xdr:rowOff>969762</xdr:rowOff>
    </xdr:to>
    <xdr:sp macro="" textlink="">
      <xdr:nvSpPr>
        <xdr:cNvPr id="1109" name="Organigramme : Jonction de sommaire 1108">
          <a:extLst>
            <a:ext uri="{FF2B5EF4-FFF2-40B4-BE49-F238E27FC236}">
              <a16:creationId xmlns:a16="http://schemas.microsoft.com/office/drawing/2014/main" id="{00000000-0008-0000-0A00-000055040000}"/>
            </a:ext>
          </a:extLst>
        </xdr:cNvPr>
        <xdr:cNvSpPr/>
      </xdr:nvSpPr>
      <xdr:spPr>
        <a:xfrm>
          <a:off x="12332431" y="12764737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696576</xdr:colOff>
      <xdr:row>94</xdr:row>
      <xdr:rowOff>1293563</xdr:rowOff>
    </xdr:from>
    <xdr:to>
      <xdr:col>5</xdr:col>
      <xdr:colOff>2041982</xdr:colOff>
      <xdr:row>94</xdr:row>
      <xdr:rowOff>1339282</xdr:rowOff>
    </xdr:to>
    <xdr:sp macro="" textlink="">
      <xdr:nvSpPr>
        <xdr:cNvPr id="1110" name="Rectangle 1109">
          <a:extLst>
            <a:ext uri="{FF2B5EF4-FFF2-40B4-BE49-F238E27FC236}">
              <a16:creationId xmlns:a16="http://schemas.microsoft.com/office/drawing/2014/main" id="{00000000-0008-0000-0A00-000056040000}"/>
            </a:ext>
          </a:extLst>
        </xdr:cNvPr>
        <xdr:cNvSpPr/>
      </xdr:nvSpPr>
      <xdr:spPr>
        <a:xfrm>
          <a:off x="11385743" y="12819831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834880</xdr:colOff>
      <xdr:row>94</xdr:row>
      <xdr:rowOff>1209386</xdr:rowOff>
    </xdr:from>
    <xdr:to>
      <xdr:col>5</xdr:col>
      <xdr:colOff>1069342</xdr:colOff>
      <xdr:row>94</xdr:row>
      <xdr:rowOff>1436520</xdr:rowOff>
    </xdr:to>
    <xdr:sp macro="" textlink="">
      <xdr:nvSpPr>
        <xdr:cNvPr id="1111" name="Organigramme : Jonction de sommaire 1110">
          <a:extLst>
            <a:ext uri="{FF2B5EF4-FFF2-40B4-BE49-F238E27FC236}">
              <a16:creationId xmlns:a16="http://schemas.microsoft.com/office/drawing/2014/main" id="{00000000-0008-0000-0A00-000057040000}"/>
            </a:ext>
          </a:extLst>
        </xdr:cNvPr>
        <xdr:cNvSpPr/>
      </xdr:nvSpPr>
      <xdr:spPr>
        <a:xfrm>
          <a:off x="11524047" y="12811413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1630757</xdr:colOff>
      <xdr:row>94</xdr:row>
      <xdr:rowOff>1210218</xdr:rowOff>
    </xdr:from>
    <xdr:to>
      <xdr:col>5</xdr:col>
      <xdr:colOff>1865219</xdr:colOff>
      <xdr:row>94</xdr:row>
      <xdr:rowOff>1437352</xdr:rowOff>
    </xdr:to>
    <xdr:sp macro="" textlink="">
      <xdr:nvSpPr>
        <xdr:cNvPr id="1112" name="Organigramme : Jonction de sommaire 1111">
          <a:extLst>
            <a:ext uri="{FF2B5EF4-FFF2-40B4-BE49-F238E27FC236}">
              <a16:creationId xmlns:a16="http://schemas.microsoft.com/office/drawing/2014/main" id="{00000000-0008-0000-0A00-000058040000}"/>
            </a:ext>
          </a:extLst>
        </xdr:cNvPr>
        <xdr:cNvSpPr/>
      </xdr:nvSpPr>
      <xdr:spPr>
        <a:xfrm>
          <a:off x="12319924" y="1281149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683656</xdr:colOff>
      <xdr:row>95</xdr:row>
      <xdr:rowOff>497416</xdr:rowOff>
    </xdr:from>
    <xdr:to>
      <xdr:col>5</xdr:col>
      <xdr:colOff>683656</xdr:colOff>
      <xdr:row>95</xdr:row>
      <xdr:rowOff>1646327</xdr:rowOff>
    </xdr:to>
    <xdr:cxnSp macro="">
      <xdr:nvCxnSpPr>
        <xdr:cNvPr id="1113" name="Connecteur droit 1112">
          <a:extLst>
            <a:ext uri="{FF2B5EF4-FFF2-40B4-BE49-F238E27FC236}">
              <a16:creationId xmlns:a16="http://schemas.microsoft.com/office/drawing/2014/main" id="{00000000-0008-0000-0A00-000059040000}"/>
            </a:ext>
          </a:extLst>
        </xdr:cNvPr>
        <xdr:cNvCxnSpPr/>
      </xdr:nvCxnSpPr>
      <xdr:spPr>
        <a:xfrm>
          <a:off x="11372823" y="129434166"/>
          <a:ext cx="0" cy="1148911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822325</xdr:colOff>
      <xdr:row>95</xdr:row>
      <xdr:rowOff>377824</xdr:rowOff>
    </xdr:from>
    <xdr:to>
      <xdr:col>5</xdr:col>
      <xdr:colOff>1898650</xdr:colOff>
      <xdr:row>95</xdr:row>
      <xdr:rowOff>377824</xdr:rowOff>
    </xdr:to>
    <xdr:cxnSp macro="">
      <xdr:nvCxnSpPr>
        <xdr:cNvPr id="1114" name="Connecteur droit 1113">
          <a:extLst>
            <a:ext uri="{FF2B5EF4-FFF2-40B4-BE49-F238E27FC236}">
              <a16:creationId xmlns:a16="http://schemas.microsoft.com/office/drawing/2014/main" id="{00000000-0008-0000-0A00-00005A040000}"/>
            </a:ext>
          </a:extLst>
        </xdr:cNvPr>
        <xdr:cNvCxnSpPr/>
      </xdr:nvCxnSpPr>
      <xdr:spPr>
        <a:xfrm>
          <a:off x="11511492" y="129314574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837293</xdr:colOff>
      <xdr:row>95</xdr:row>
      <xdr:rowOff>1788583</xdr:rowOff>
    </xdr:from>
    <xdr:to>
      <xdr:col>5</xdr:col>
      <xdr:colOff>1913618</xdr:colOff>
      <xdr:row>95</xdr:row>
      <xdr:rowOff>1788583</xdr:rowOff>
    </xdr:to>
    <xdr:cxnSp macro="">
      <xdr:nvCxnSpPr>
        <xdr:cNvPr id="1115" name="Connecteur droit 1114">
          <a:extLst>
            <a:ext uri="{FF2B5EF4-FFF2-40B4-BE49-F238E27FC236}">
              <a16:creationId xmlns:a16="http://schemas.microsoft.com/office/drawing/2014/main" id="{00000000-0008-0000-0A00-00005B040000}"/>
            </a:ext>
          </a:extLst>
        </xdr:cNvPr>
        <xdr:cNvCxnSpPr/>
      </xdr:nvCxnSpPr>
      <xdr:spPr>
        <a:xfrm>
          <a:off x="11526460" y="130725333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669925</xdr:colOff>
      <xdr:row>95</xdr:row>
      <xdr:rowOff>358774</xdr:rowOff>
    </xdr:from>
    <xdr:to>
      <xdr:col>5</xdr:col>
      <xdr:colOff>822325</xdr:colOff>
      <xdr:row>95</xdr:row>
      <xdr:rowOff>511174</xdr:rowOff>
    </xdr:to>
    <xdr:sp macro="" textlink="">
      <xdr:nvSpPr>
        <xdr:cNvPr id="1116" name="Rectangle 1115">
          <a:extLst>
            <a:ext uri="{FF2B5EF4-FFF2-40B4-BE49-F238E27FC236}">
              <a16:creationId xmlns:a16="http://schemas.microsoft.com/office/drawing/2014/main" id="{00000000-0008-0000-0A00-00005C040000}"/>
            </a:ext>
          </a:extLst>
        </xdr:cNvPr>
        <xdr:cNvSpPr/>
      </xdr:nvSpPr>
      <xdr:spPr>
        <a:xfrm>
          <a:off x="11359092" y="12929552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675368</xdr:colOff>
      <xdr:row>95</xdr:row>
      <xdr:rowOff>1655233</xdr:rowOff>
    </xdr:from>
    <xdr:to>
      <xdr:col>5</xdr:col>
      <xdr:colOff>827768</xdr:colOff>
      <xdr:row>95</xdr:row>
      <xdr:rowOff>1807633</xdr:rowOff>
    </xdr:to>
    <xdr:sp macro="" textlink="">
      <xdr:nvSpPr>
        <xdr:cNvPr id="1117" name="Rectangle 1116">
          <a:extLst>
            <a:ext uri="{FF2B5EF4-FFF2-40B4-BE49-F238E27FC236}">
              <a16:creationId xmlns:a16="http://schemas.microsoft.com/office/drawing/2014/main" id="{00000000-0008-0000-0A00-00005D040000}"/>
            </a:ext>
          </a:extLst>
        </xdr:cNvPr>
        <xdr:cNvSpPr/>
      </xdr:nvSpPr>
      <xdr:spPr>
        <a:xfrm>
          <a:off x="11364535" y="13059198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1927225</xdr:colOff>
      <xdr:row>95</xdr:row>
      <xdr:rowOff>349249</xdr:rowOff>
    </xdr:from>
    <xdr:to>
      <xdr:col>5</xdr:col>
      <xdr:colOff>2079625</xdr:colOff>
      <xdr:row>95</xdr:row>
      <xdr:rowOff>501649</xdr:rowOff>
    </xdr:to>
    <xdr:sp macro="" textlink="">
      <xdr:nvSpPr>
        <xdr:cNvPr id="1118" name="Rectangle 1117">
          <a:extLst>
            <a:ext uri="{FF2B5EF4-FFF2-40B4-BE49-F238E27FC236}">
              <a16:creationId xmlns:a16="http://schemas.microsoft.com/office/drawing/2014/main" id="{00000000-0008-0000-0A00-00005E040000}"/>
            </a:ext>
          </a:extLst>
        </xdr:cNvPr>
        <xdr:cNvSpPr/>
      </xdr:nvSpPr>
      <xdr:spPr>
        <a:xfrm>
          <a:off x="12616392" y="1292859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1923143</xdr:colOff>
      <xdr:row>95</xdr:row>
      <xdr:rowOff>1655233</xdr:rowOff>
    </xdr:from>
    <xdr:to>
      <xdr:col>5</xdr:col>
      <xdr:colOff>2075543</xdr:colOff>
      <xdr:row>95</xdr:row>
      <xdr:rowOff>1807633</xdr:rowOff>
    </xdr:to>
    <xdr:sp macro="" textlink="">
      <xdr:nvSpPr>
        <xdr:cNvPr id="1119" name="Rectangle 1118">
          <a:extLst>
            <a:ext uri="{FF2B5EF4-FFF2-40B4-BE49-F238E27FC236}">
              <a16:creationId xmlns:a16="http://schemas.microsoft.com/office/drawing/2014/main" id="{00000000-0008-0000-0A00-00005F040000}"/>
            </a:ext>
          </a:extLst>
        </xdr:cNvPr>
        <xdr:cNvSpPr/>
      </xdr:nvSpPr>
      <xdr:spPr>
        <a:xfrm>
          <a:off x="12612310" y="13059198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2049318</xdr:colOff>
      <xdr:row>95</xdr:row>
      <xdr:rowOff>560917</xdr:rowOff>
    </xdr:from>
    <xdr:to>
      <xdr:col>5</xdr:col>
      <xdr:colOff>2049318</xdr:colOff>
      <xdr:row>95</xdr:row>
      <xdr:rowOff>1629874</xdr:rowOff>
    </xdr:to>
    <xdr:cxnSp macro="">
      <xdr:nvCxnSpPr>
        <xdr:cNvPr id="1120" name="Connecteur droit 1119">
          <a:extLst>
            <a:ext uri="{FF2B5EF4-FFF2-40B4-BE49-F238E27FC236}">
              <a16:creationId xmlns:a16="http://schemas.microsoft.com/office/drawing/2014/main" id="{00000000-0008-0000-0A00-000060040000}"/>
            </a:ext>
          </a:extLst>
        </xdr:cNvPr>
        <xdr:cNvCxnSpPr/>
      </xdr:nvCxnSpPr>
      <xdr:spPr>
        <a:xfrm>
          <a:off x="12738485" y="129497667"/>
          <a:ext cx="0" cy="1068957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698500</xdr:colOff>
      <xdr:row>95</xdr:row>
      <xdr:rowOff>868306</xdr:rowOff>
    </xdr:from>
    <xdr:to>
      <xdr:col>5</xdr:col>
      <xdr:colOff>2043906</xdr:colOff>
      <xdr:row>95</xdr:row>
      <xdr:rowOff>914025</xdr:rowOff>
    </xdr:to>
    <xdr:sp macro="" textlink="">
      <xdr:nvSpPr>
        <xdr:cNvPr id="1121" name="Rectangle 1120">
          <a:extLst>
            <a:ext uri="{FF2B5EF4-FFF2-40B4-BE49-F238E27FC236}">
              <a16:creationId xmlns:a16="http://schemas.microsoft.com/office/drawing/2014/main" id="{00000000-0008-0000-0A00-000061040000}"/>
            </a:ext>
          </a:extLst>
        </xdr:cNvPr>
        <xdr:cNvSpPr/>
      </xdr:nvSpPr>
      <xdr:spPr>
        <a:xfrm>
          <a:off x="11387667" y="129805056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707159</xdr:colOff>
      <xdr:row>95</xdr:row>
      <xdr:rowOff>1335896</xdr:rowOff>
    </xdr:from>
    <xdr:to>
      <xdr:col>5</xdr:col>
      <xdr:colOff>2052565</xdr:colOff>
      <xdr:row>95</xdr:row>
      <xdr:rowOff>1381615</xdr:rowOff>
    </xdr:to>
    <xdr:sp macro="" textlink="">
      <xdr:nvSpPr>
        <xdr:cNvPr id="1122" name="Rectangle 1121">
          <a:extLst>
            <a:ext uri="{FF2B5EF4-FFF2-40B4-BE49-F238E27FC236}">
              <a16:creationId xmlns:a16="http://schemas.microsoft.com/office/drawing/2014/main" id="{00000000-0008-0000-0A00-000062040000}"/>
            </a:ext>
          </a:extLst>
        </xdr:cNvPr>
        <xdr:cNvSpPr/>
      </xdr:nvSpPr>
      <xdr:spPr>
        <a:xfrm>
          <a:off x="11396326" y="130272646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673075</xdr:colOff>
      <xdr:row>96</xdr:row>
      <xdr:rowOff>603250</xdr:rowOff>
    </xdr:from>
    <xdr:to>
      <xdr:col>5</xdr:col>
      <xdr:colOff>677333</xdr:colOff>
      <xdr:row>96</xdr:row>
      <xdr:rowOff>1614578</xdr:rowOff>
    </xdr:to>
    <xdr:cxnSp macro="">
      <xdr:nvCxnSpPr>
        <xdr:cNvPr id="1123" name="Connecteur droit 1122">
          <a:extLst>
            <a:ext uri="{FF2B5EF4-FFF2-40B4-BE49-F238E27FC236}">
              <a16:creationId xmlns:a16="http://schemas.microsoft.com/office/drawing/2014/main" id="{00000000-0008-0000-0A00-000063040000}"/>
            </a:ext>
          </a:extLst>
        </xdr:cNvPr>
        <xdr:cNvCxnSpPr/>
      </xdr:nvCxnSpPr>
      <xdr:spPr>
        <a:xfrm flipH="1">
          <a:off x="11362242" y="131572000"/>
          <a:ext cx="4258" cy="1011328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801159</xdr:colOff>
      <xdr:row>96</xdr:row>
      <xdr:rowOff>420159</xdr:rowOff>
    </xdr:from>
    <xdr:to>
      <xdr:col>5</xdr:col>
      <xdr:colOff>1877484</xdr:colOff>
      <xdr:row>96</xdr:row>
      <xdr:rowOff>420159</xdr:rowOff>
    </xdr:to>
    <xdr:cxnSp macro="">
      <xdr:nvCxnSpPr>
        <xdr:cNvPr id="1124" name="Connecteur droit 1123">
          <a:extLst>
            <a:ext uri="{FF2B5EF4-FFF2-40B4-BE49-F238E27FC236}">
              <a16:creationId xmlns:a16="http://schemas.microsoft.com/office/drawing/2014/main" id="{00000000-0008-0000-0A00-000064040000}"/>
            </a:ext>
          </a:extLst>
        </xdr:cNvPr>
        <xdr:cNvCxnSpPr/>
      </xdr:nvCxnSpPr>
      <xdr:spPr>
        <a:xfrm>
          <a:off x="11490326" y="131388909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816127</xdr:colOff>
      <xdr:row>96</xdr:row>
      <xdr:rowOff>1767417</xdr:rowOff>
    </xdr:from>
    <xdr:to>
      <xdr:col>5</xdr:col>
      <xdr:colOff>1892452</xdr:colOff>
      <xdr:row>96</xdr:row>
      <xdr:rowOff>1767417</xdr:rowOff>
    </xdr:to>
    <xdr:cxnSp macro="">
      <xdr:nvCxnSpPr>
        <xdr:cNvPr id="1125" name="Connecteur droit 1124">
          <a:extLst>
            <a:ext uri="{FF2B5EF4-FFF2-40B4-BE49-F238E27FC236}">
              <a16:creationId xmlns:a16="http://schemas.microsoft.com/office/drawing/2014/main" id="{00000000-0008-0000-0A00-000065040000}"/>
            </a:ext>
          </a:extLst>
        </xdr:cNvPr>
        <xdr:cNvCxnSpPr/>
      </xdr:nvCxnSpPr>
      <xdr:spPr>
        <a:xfrm>
          <a:off x="11505294" y="132736167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648759</xdr:colOff>
      <xdr:row>96</xdr:row>
      <xdr:rowOff>401109</xdr:rowOff>
    </xdr:from>
    <xdr:to>
      <xdr:col>5</xdr:col>
      <xdr:colOff>801159</xdr:colOff>
      <xdr:row>96</xdr:row>
      <xdr:rowOff>553509</xdr:rowOff>
    </xdr:to>
    <xdr:sp macro="" textlink="">
      <xdr:nvSpPr>
        <xdr:cNvPr id="1126" name="Rectangle 1125">
          <a:extLst>
            <a:ext uri="{FF2B5EF4-FFF2-40B4-BE49-F238E27FC236}">
              <a16:creationId xmlns:a16="http://schemas.microsoft.com/office/drawing/2014/main" id="{00000000-0008-0000-0A00-000066040000}"/>
            </a:ext>
          </a:extLst>
        </xdr:cNvPr>
        <xdr:cNvSpPr/>
      </xdr:nvSpPr>
      <xdr:spPr>
        <a:xfrm>
          <a:off x="11337926" y="13136985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654202</xdr:colOff>
      <xdr:row>96</xdr:row>
      <xdr:rowOff>1634067</xdr:rowOff>
    </xdr:from>
    <xdr:to>
      <xdr:col>5</xdr:col>
      <xdr:colOff>806602</xdr:colOff>
      <xdr:row>96</xdr:row>
      <xdr:rowOff>1786467</xdr:rowOff>
    </xdr:to>
    <xdr:sp macro="" textlink="">
      <xdr:nvSpPr>
        <xdr:cNvPr id="1127" name="Rectangle 1126">
          <a:extLst>
            <a:ext uri="{FF2B5EF4-FFF2-40B4-BE49-F238E27FC236}">
              <a16:creationId xmlns:a16="http://schemas.microsoft.com/office/drawing/2014/main" id="{00000000-0008-0000-0A00-000067040000}"/>
            </a:ext>
          </a:extLst>
        </xdr:cNvPr>
        <xdr:cNvSpPr/>
      </xdr:nvSpPr>
      <xdr:spPr>
        <a:xfrm>
          <a:off x="11343369" y="13260281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1906059</xdr:colOff>
      <xdr:row>96</xdr:row>
      <xdr:rowOff>391584</xdr:rowOff>
    </xdr:from>
    <xdr:to>
      <xdr:col>5</xdr:col>
      <xdr:colOff>2058459</xdr:colOff>
      <xdr:row>96</xdr:row>
      <xdr:rowOff>543984</xdr:rowOff>
    </xdr:to>
    <xdr:sp macro="" textlink="">
      <xdr:nvSpPr>
        <xdr:cNvPr id="1128" name="Rectangle 1127">
          <a:extLst>
            <a:ext uri="{FF2B5EF4-FFF2-40B4-BE49-F238E27FC236}">
              <a16:creationId xmlns:a16="http://schemas.microsoft.com/office/drawing/2014/main" id="{00000000-0008-0000-0A00-000068040000}"/>
            </a:ext>
          </a:extLst>
        </xdr:cNvPr>
        <xdr:cNvSpPr/>
      </xdr:nvSpPr>
      <xdr:spPr>
        <a:xfrm>
          <a:off x="12595226" y="13136033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1901977</xdr:colOff>
      <xdr:row>96</xdr:row>
      <xdr:rowOff>1634067</xdr:rowOff>
    </xdr:from>
    <xdr:to>
      <xdr:col>5</xdr:col>
      <xdr:colOff>2054377</xdr:colOff>
      <xdr:row>96</xdr:row>
      <xdr:rowOff>1786467</xdr:rowOff>
    </xdr:to>
    <xdr:sp macro="" textlink="">
      <xdr:nvSpPr>
        <xdr:cNvPr id="1129" name="Rectangle 1128">
          <a:extLst>
            <a:ext uri="{FF2B5EF4-FFF2-40B4-BE49-F238E27FC236}">
              <a16:creationId xmlns:a16="http://schemas.microsoft.com/office/drawing/2014/main" id="{00000000-0008-0000-0A00-000069040000}"/>
            </a:ext>
          </a:extLst>
        </xdr:cNvPr>
        <xdr:cNvSpPr/>
      </xdr:nvSpPr>
      <xdr:spPr>
        <a:xfrm>
          <a:off x="12591144" y="13260281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666510</xdr:colOff>
      <xdr:row>96</xdr:row>
      <xdr:rowOff>829952</xdr:rowOff>
    </xdr:from>
    <xdr:to>
      <xdr:col>5</xdr:col>
      <xdr:colOff>2011916</xdr:colOff>
      <xdr:row>96</xdr:row>
      <xdr:rowOff>875671</xdr:rowOff>
    </xdr:to>
    <xdr:sp macro="" textlink="">
      <xdr:nvSpPr>
        <xdr:cNvPr id="1130" name="Rectangle 1129">
          <a:extLst>
            <a:ext uri="{FF2B5EF4-FFF2-40B4-BE49-F238E27FC236}">
              <a16:creationId xmlns:a16="http://schemas.microsoft.com/office/drawing/2014/main" id="{00000000-0008-0000-0A00-00006A040000}"/>
            </a:ext>
          </a:extLst>
        </xdr:cNvPr>
        <xdr:cNvSpPr/>
      </xdr:nvSpPr>
      <xdr:spPr>
        <a:xfrm>
          <a:off x="11355677" y="131798702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900305</xdr:colOff>
      <xdr:row>96</xdr:row>
      <xdr:rowOff>739680</xdr:rowOff>
    </xdr:from>
    <xdr:to>
      <xdr:col>5</xdr:col>
      <xdr:colOff>1134767</xdr:colOff>
      <xdr:row>96</xdr:row>
      <xdr:rowOff>966814</xdr:rowOff>
    </xdr:to>
    <xdr:sp macro="" textlink="">
      <xdr:nvSpPr>
        <xdr:cNvPr id="1131" name="Organigramme : Jonction de sommaire 1130">
          <a:extLst>
            <a:ext uri="{FF2B5EF4-FFF2-40B4-BE49-F238E27FC236}">
              <a16:creationId xmlns:a16="http://schemas.microsoft.com/office/drawing/2014/main" id="{00000000-0008-0000-0A00-00006B040000}"/>
            </a:ext>
          </a:extLst>
        </xdr:cNvPr>
        <xdr:cNvSpPr/>
      </xdr:nvSpPr>
      <xdr:spPr>
        <a:xfrm>
          <a:off x="11589472" y="13170843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1516265</xdr:colOff>
      <xdr:row>96</xdr:row>
      <xdr:rowOff>740512</xdr:rowOff>
    </xdr:from>
    <xdr:to>
      <xdr:col>5</xdr:col>
      <xdr:colOff>1750727</xdr:colOff>
      <xdr:row>96</xdr:row>
      <xdr:rowOff>967646</xdr:rowOff>
    </xdr:to>
    <xdr:sp macro="" textlink="">
      <xdr:nvSpPr>
        <xdr:cNvPr id="1132" name="Organigramme : Jonction de sommaire 1131">
          <a:extLst>
            <a:ext uri="{FF2B5EF4-FFF2-40B4-BE49-F238E27FC236}">
              <a16:creationId xmlns:a16="http://schemas.microsoft.com/office/drawing/2014/main" id="{00000000-0008-0000-0A00-00006C040000}"/>
            </a:ext>
          </a:extLst>
        </xdr:cNvPr>
        <xdr:cNvSpPr/>
      </xdr:nvSpPr>
      <xdr:spPr>
        <a:xfrm>
          <a:off x="12205432" y="13170926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685993</xdr:colOff>
      <xdr:row>96</xdr:row>
      <xdr:rowOff>1314730</xdr:rowOff>
    </xdr:from>
    <xdr:to>
      <xdr:col>5</xdr:col>
      <xdr:colOff>2031399</xdr:colOff>
      <xdr:row>96</xdr:row>
      <xdr:rowOff>1360449</xdr:rowOff>
    </xdr:to>
    <xdr:sp macro="" textlink="">
      <xdr:nvSpPr>
        <xdr:cNvPr id="1133" name="Rectangle 1132">
          <a:extLst>
            <a:ext uri="{FF2B5EF4-FFF2-40B4-BE49-F238E27FC236}">
              <a16:creationId xmlns:a16="http://schemas.microsoft.com/office/drawing/2014/main" id="{00000000-0008-0000-0A00-00006D040000}"/>
            </a:ext>
          </a:extLst>
        </xdr:cNvPr>
        <xdr:cNvSpPr/>
      </xdr:nvSpPr>
      <xdr:spPr>
        <a:xfrm>
          <a:off x="11375160" y="13228348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724958</xdr:colOff>
      <xdr:row>97</xdr:row>
      <xdr:rowOff>532341</xdr:rowOff>
    </xdr:from>
    <xdr:to>
      <xdr:col>5</xdr:col>
      <xdr:colOff>730401</xdr:colOff>
      <xdr:row>97</xdr:row>
      <xdr:rowOff>1602316</xdr:rowOff>
    </xdr:to>
    <xdr:cxnSp macro="">
      <xdr:nvCxnSpPr>
        <xdr:cNvPr id="1134" name="Connecteur droit 1133">
          <a:extLst>
            <a:ext uri="{FF2B5EF4-FFF2-40B4-BE49-F238E27FC236}">
              <a16:creationId xmlns:a16="http://schemas.microsoft.com/office/drawing/2014/main" id="{00000000-0008-0000-0A00-00006E040000}"/>
            </a:ext>
          </a:extLst>
        </xdr:cNvPr>
        <xdr:cNvCxnSpPr/>
      </xdr:nvCxnSpPr>
      <xdr:spPr>
        <a:xfrm>
          <a:off x="11414125" y="133533091"/>
          <a:ext cx="5443" cy="1069975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822325</xdr:colOff>
      <xdr:row>97</xdr:row>
      <xdr:rowOff>398991</xdr:rowOff>
    </xdr:from>
    <xdr:to>
      <xdr:col>5</xdr:col>
      <xdr:colOff>1898650</xdr:colOff>
      <xdr:row>97</xdr:row>
      <xdr:rowOff>398991</xdr:rowOff>
    </xdr:to>
    <xdr:cxnSp macro="">
      <xdr:nvCxnSpPr>
        <xdr:cNvPr id="1135" name="Connecteur droit 1134">
          <a:extLst>
            <a:ext uri="{FF2B5EF4-FFF2-40B4-BE49-F238E27FC236}">
              <a16:creationId xmlns:a16="http://schemas.microsoft.com/office/drawing/2014/main" id="{00000000-0008-0000-0A00-00006F040000}"/>
            </a:ext>
          </a:extLst>
        </xdr:cNvPr>
        <xdr:cNvCxnSpPr/>
      </xdr:nvCxnSpPr>
      <xdr:spPr>
        <a:xfrm>
          <a:off x="11511492" y="133399741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837293</xdr:colOff>
      <xdr:row>97</xdr:row>
      <xdr:rowOff>1735666</xdr:rowOff>
    </xdr:from>
    <xdr:to>
      <xdr:col>5</xdr:col>
      <xdr:colOff>1913618</xdr:colOff>
      <xdr:row>97</xdr:row>
      <xdr:rowOff>1735666</xdr:rowOff>
    </xdr:to>
    <xdr:cxnSp macro="">
      <xdr:nvCxnSpPr>
        <xdr:cNvPr id="1136" name="Connecteur droit 1135">
          <a:extLst>
            <a:ext uri="{FF2B5EF4-FFF2-40B4-BE49-F238E27FC236}">
              <a16:creationId xmlns:a16="http://schemas.microsoft.com/office/drawing/2014/main" id="{00000000-0008-0000-0A00-000070040000}"/>
            </a:ext>
          </a:extLst>
        </xdr:cNvPr>
        <xdr:cNvCxnSpPr/>
      </xdr:nvCxnSpPr>
      <xdr:spPr>
        <a:xfrm>
          <a:off x="11526460" y="134736416"/>
          <a:ext cx="1076325" cy="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669925</xdr:colOff>
      <xdr:row>97</xdr:row>
      <xdr:rowOff>379941</xdr:rowOff>
    </xdr:from>
    <xdr:to>
      <xdr:col>5</xdr:col>
      <xdr:colOff>822325</xdr:colOff>
      <xdr:row>97</xdr:row>
      <xdr:rowOff>532341</xdr:rowOff>
    </xdr:to>
    <xdr:sp macro="" textlink="">
      <xdr:nvSpPr>
        <xdr:cNvPr id="1137" name="Rectangle 1136">
          <a:extLst>
            <a:ext uri="{FF2B5EF4-FFF2-40B4-BE49-F238E27FC236}">
              <a16:creationId xmlns:a16="http://schemas.microsoft.com/office/drawing/2014/main" id="{00000000-0008-0000-0A00-000071040000}"/>
            </a:ext>
          </a:extLst>
        </xdr:cNvPr>
        <xdr:cNvSpPr/>
      </xdr:nvSpPr>
      <xdr:spPr>
        <a:xfrm>
          <a:off x="11359092" y="133380691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675368</xdr:colOff>
      <xdr:row>97</xdr:row>
      <xdr:rowOff>1602316</xdr:rowOff>
    </xdr:from>
    <xdr:to>
      <xdr:col>5</xdr:col>
      <xdr:colOff>827768</xdr:colOff>
      <xdr:row>97</xdr:row>
      <xdr:rowOff>1754716</xdr:rowOff>
    </xdr:to>
    <xdr:sp macro="" textlink="">
      <xdr:nvSpPr>
        <xdr:cNvPr id="1138" name="Rectangle 1137">
          <a:extLst>
            <a:ext uri="{FF2B5EF4-FFF2-40B4-BE49-F238E27FC236}">
              <a16:creationId xmlns:a16="http://schemas.microsoft.com/office/drawing/2014/main" id="{00000000-0008-0000-0A00-000072040000}"/>
            </a:ext>
          </a:extLst>
        </xdr:cNvPr>
        <xdr:cNvSpPr/>
      </xdr:nvSpPr>
      <xdr:spPr>
        <a:xfrm>
          <a:off x="11364535" y="134603066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1927225</xdr:colOff>
      <xdr:row>97</xdr:row>
      <xdr:rowOff>370416</xdr:rowOff>
    </xdr:from>
    <xdr:to>
      <xdr:col>5</xdr:col>
      <xdr:colOff>2079625</xdr:colOff>
      <xdr:row>97</xdr:row>
      <xdr:rowOff>522816</xdr:rowOff>
    </xdr:to>
    <xdr:sp macro="" textlink="">
      <xdr:nvSpPr>
        <xdr:cNvPr id="1139" name="Rectangle 1138">
          <a:extLst>
            <a:ext uri="{FF2B5EF4-FFF2-40B4-BE49-F238E27FC236}">
              <a16:creationId xmlns:a16="http://schemas.microsoft.com/office/drawing/2014/main" id="{00000000-0008-0000-0A00-000073040000}"/>
            </a:ext>
          </a:extLst>
        </xdr:cNvPr>
        <xdr:cNvSpPr/>
      </xdr:nvSpPr>
      <xdr:spPr>
        <a:xfrm>
          <a:off x="12616392" y="133371166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1923143</xdr:colOff>
      <xdr:row>97</xdr:row>
      <xdr:rowOff>1602316</xdr:rowOff>
    </xdr:from>
    <xdr:to>
      <xdr:col>5</xdr:col>
      <xdr:colOff>2075543</xdr:colOff>
      <xdr:row>97</xdr:row>
      <xdr:rowOff>1754716</xdr:rowOff>
    </xdr:to>
    <xdr:sp macro="" textlink="">
      <xdr:nvSpPr>
        <xdr:cNvPr id="1140" name="Rectangle 1139">
          <a:extLst>
            <a:ext uri="{FF2B5EF4-FFF2-40B4-BE49-F238E27FC236}">
              <a16:creationId xmlns:a16="http://schemas.microsoft.com/office/drawing/2014/main" id="{00000000-0008-0000-0A00-000074040000}"/>
            </a:ext>
          </a:extLst>
        </xdr:cNvPr>
        <xdr:cNvSpPr/>
      </xdr:nvSpPr>
      <xdr:spPr>
        <a:xfrm>
          <a:off x="12612310" y="134603066"/>
          <a:ext cx="152400" cy="1524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2009927</xdr:colOff>
      <xdr:row>97</xdr:row>
      <xdr:rowOff>522816</xdr:rowOff>
    </xdr:from>
    <xdr:to>
      <xdr:col>5</xdr:col>
      <xdr:colOff>2014009</xdr:colOff>
      <xdr:row>97</xdr:row>
      <xdr:rowOff>1602316</xdr:rowOff>
    </xdr:to>
    <xdr:cxnSp macro="">
      <xdr:nvCxnSpPr>
        <xdr:cNvPr id="1141" name="Connecteur droit 1140">
          <a:extLst>
            <a:ext uri="{FF2B5EF4-FFF2-40B4-BE49-F238E27FC236}">
              <a16:creationId xmlns:a16="http://schemas.microsoft.com/office/drawing/2014/main" id="{00000000-0008-0000-0A00-000075040000}"/>
            </a:ext>
          </a:extLst>
        </xdr:cNvPr>
        <xdr:cNvCxnSpPr/>
      </xdr:nvCxnSpPr>
      <xdr:spPr>
        <a:xfrm flipH="1">
          <a:off x="12699094" y="133523566"/>
          <a:ext cx="4082" cy="1079500"/>
        </a:xfrm>
        <a:prstGeom prst="line">
          <a:avLst/>
        </a:prstGeom>
        <a:ln w="63500">
          <a:solidFill>
            <a:srgbClr val="FFFF00">
              <a:alpha val="62000"/>
            </a:srgbClr>
          </a:solidFill>
        </a:ln>
        <a:effectLst>
          <a:innerShdw blurRad="114300">
            <a:srgbClr val="FFC000"/>
          </a:inn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698500</xdr:colOff>
      <xdr:row>97</xdr:row>
      <xdr:rowOff>815389</xdr:rowOff>
    </xdr:from>
    <xdr:to>
      <xdr:col>5</xdr:col>
      <xdr:colOff>2043906</xdr:colOff>
      <xdr:row>97</xdr:row>
      <xdr:rowOff>861108</xdr:rowOff>
    </xdr:to>
    <xdr:sp macro="" textlink="">
      <xdr:nvSpPr>
        <xdr:cNvPr id="1142" name="Rectangle 1141">
          <a:extLst>
            <a:ext uri="{FF2B5EF4-FFF2-40B4-BE49-F238E27FC236}">
              <a16:creationId xmlns:a16="http://schemas.microsoft.com/office/drawing/2014/main" id="{00000000-0008-0000-0A00-000076040000}"/>
            </a:ext>
          </a:extLst>
        </xdr:cNvPr>
        <xdr:cNvSpPr/>
      </xdr:nvSpPr>
      <xdr:spPr>
        <a:xfrm>
          <a:off x="11387667" y="133816139"/>
          <a:ext cx="1345406" cy="45719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815637</xdr:colOff>
      <xdr:row>97</xdr:row>
      <xdr:rowOff>731212</xdr:rowOff>
    </xdr:from>
    <xdr:to>
      <xdr:col>5</xdr:col>
      <xdr:colOff>1050099</xdr:colOff>
      <xdr:row>97</xdr:row>
      <xdr:rowOff>958346</xdr:rowOff>
    </xdr:to>
    <xdr:sp macro="" textlink="">
      <xdr:nvSpPr>
        <xdr:cNvPr id="1143" name="Organigramme : Jonction de sommaire 1142">
          <a:extLst>
            <a:ext uri="{FF2B5EF4-FFF2-40B4-BE49-F238E27FC236}">
              <a16:creationId xmlns:a16="http://schemas.microsoft.com/office/drawing/2014/main" id="{00000000-0008-0000-0A00-000077040000}"/>
            </a:ext>
          </a:extLst>
        </xdr:cNvPr>
        <xdr:cNvSpPr/>
      </xdr:nvSpPr>
      <xdr:spPr>
        <a:xfrm>
          <a:off x="11504804" y="13373196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1664431</xdr:colOff>
      <xdr:row>97</xdr:row>
      <xdr:rowOff>732044</xdr:rowOff>
    </xdr:from>
    <xdr:to>
      <xdr:col>5</xdr:col>
      <xdr:colOff>1898893</xdr:colOff>
      <xdr:row>97</xdr:row>
      <xdr:rowOff>959178</xdr:rowOff>
    </xdr:to>
    <xdr:sp macro="" textlink="">
      <xdr:nvSpPr>
        <xdr:cNvPr id="1144" name="Organigramme : Jonction de sommaire 1143">
          <a:extLst>
            <a:ext uri="{FF2B5EF4-FFF2-40B4-BE49-F238E27FC236}">
              <a16:creationId xmlns:a16="http://schemas.microsoft.com/office/drawing/2014/main" id="{00000000-0008-0000-0A00-000078040000}"/>
            </a:ext>
          </a:extLst>
        </xdr:cNvPr>
        <xdr:cNvSpPr/>
      </xdr:nvSpPr>
      <xdr:spPr>
        <a:xfrm>
          <a:off x="12353598" y="133732794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707159</xdr:colOff>
      <xdr:row>97</xdr:row>
      <xdr:rowOff>1282979</xdr:rowOff>
    </xdr:from>
    <xdr:to>
      <xdr:col>5</xdr:col>
      <xdr:colOff>2052565</xdr:colOff>
      <xdr:row>97</xdr:row>
      <xdr:rowOff>1328698</xdr:rowOff>
    </xdr:to>
    <xdr:sp macro="" textlink="">
      <xdr:nvSpPr>
        <xdr:cNvPr id="1145" name="Rectangle 1144">
          <a:extLst>
            <a:ext uri="{FF2B5EF4-FFF2-40B4-BE49-F238E27FC236}">
              <a16:creationId xmlns:a16="http://schemas.microsoft.com/office/drawing/2014/main" id="{00000000-0008-0000-0A00-000079040000}"/>
            </a:ext>
          </a:extLst>
        </xdr:cNvPr>
        <xdr:cNvSpPr/>
      </xdr:nvSpPr>
      <xdr:spPr>
        <a:xfrm>
          <a:off x="11396326" y="134283729"/>
          <a:ext cx="1345406" cy="45719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824297</xdr:colOff>
      <xdr:row>97</xdr:row>
      <xdr:rowOff>1198802</xdr:rowOff>
    </xdr:from>
    <xdr:to>
      <xdr:col>5</xdr:col>
      <xdr:colOff>1058759</xdr:colOff>
      <xdr:row>97</xdr:row>
      <xdr:rowOff>1425936</xdr:rowOff>
    </xdr:to>
    <xdr:sp macro="" textlink="">
      <xdr:nvSpPr>
        <xdr:cNvPr id="1146" name="Organigramme : Jonction de sommaire 1145">
          <a:extLst>
            <a:ext uri="{FF2B5EF4-FFF2-40B4-BE49-F238E27FC236}">
              <a16:creationId xmlns:a16="http://schemas.microsoft.com/office/drawing/2014/main" id="{00000000-0008-0000-0A00-00007A040000}"/>
            </a:ext>
          </a:extLst>
        </xdr:cNvPr>
        <xdr:cNvSpPr/>
      </xdr:nvSpPr>
      <xdr:spPr>
        <a:xfrm>
          <a:off x="11513464" y="13419955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1651923</xdr:colOff>
      <xdr:row>97</xdr:row>
      <xdr:rowOff>1199634</xdr:rowOff>
    </xdr:from>
    <xdr:to>
      <xdr:col>5</xdr:col>
      <xdr:colOff>1886385</xdr:colOff>
      <xdr:row>97</xdr:row>
      <xdr:rowOff>1426768</xdr:rowOff>
    </xdr:to>
    <xdr:sp macro="" textlink="">
      <xdr:nvSpPr>
        <xdr:cNvPr id="1147" name="Organigramme : Jonction de sommaire 1146">
          <a:extLst>
            <a:ext uri="{FF2B5EF4-FFF2-40B4-BE49-F238E27FC236}">
              <a16:creationId xmlns:a16="http://schemas.microsoft.com/office/drawing/2014/main" id="{00000000-0008-0000-0A00-00007B040000}"/>
            </a:ext>
          </a:extLst>
        </xdr:cNvPr>
        <xdr:cNvSpPr/>
      </xdr:nvSpPr>
      <xdr:spPr>
        <a:xfrm>
          <a:off x="12341090" y="134200384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1526116</xdr:colOff>
      <xdr:row>93</xdr:row>
      <xdr:rowOff>1192741</xdr:rowOff>
    </xdr:from>
    <xdr:to>
      <xdr:col>5</xdr:col>
      <xdr:colOff>1760578</xdr:colOff>
      <xdr:row>93</xdr:row>
      <xdr:rowOff>1419875</xdr:rowOff>
    </xdr:to>
    <xdr:sp macro="" textlink="">
      <xdr:nvSpPr>
        <xdr:cNvPr id="1148" name="Organigramme : Jonction de sommaire 1147">
          <a:extLst>
            <a:ext uri="{FF2B5EF4-FFF2-40B4-BE49-F238E27FC236}">
              <a16:creationId xmlns:a16="http://schemas.microsoft.com/office/drawing/2014/main" id="{00000000-0008-0000-0A00-00007C040000}"/>
            </a:ext>
          </a:extLst>
        </xdr:cNvPr>
        <xdr:cNvSpPr/>
      </xdr:nvSpPr>
      <xdr:spPr>
        <a:xfrm>
          <a:off x="12215283" y="12606549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897466</xdr:colOff>
      <xdr:row>93</xdr:row>
      <xdr:rowOff>1183216</xdr:rowOff>
    </xdr:from>
    <xdr:to>
      <xdr:col>5</xdr:col>
      <xdr:colOff>1131928</xdr:colOff>
      <xdr:row>93</xdr:row>
      <xdr:rowOff>1410350</xdr:rowOff>
    </xdr:to>
    <xdr:sp macro="" textlink="">
      <xdr:nvSpPr>
        <xdr:cNvPr id="1149" name="Organigramme : Jonction de sommaire 1148">
          <a:extLst>
            <a:ext uri="{FF2B5EF4-FFF2-40B4-BE49-F238E27FC236}">
              <a16:creationId xmlns:a16="http://schemas.microsoft.com/office/drawing/2014/main" id="{00000000-0008-0000-0A00-00007D040000}"/>
            </a:ext>
          </a:extLst>
        </xdr:cNvPr>
        <xdr:cNvSpPr/>
      </xdr:nvSpPr>
      <xdr:spPr>
        <a:xfrm>
          <a:off x="11586633" y="12605596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1506009</xdr:colOff>
      <xdr:row>96</xdr:row>
      <xdr:rowOff>1224492</xdr:rowOff>
    </xdr:from>
    <xdr:to>
      <xdr:col>5</xdr:col>
      <xdr:colOff>1740471</xdr:colOff>
      <xdr:row>96</xdr:row>
      <xdr:rowOff>1451626</xdr:rowOff>
    </xdr:to>
    <xdr:sp macro="" textlink="">
      <xdr:nvSpPr>
        <xdr:cNvPr id="1150" name="Organigramme : Jonction de sommaire 1149">
          <a:extLst>
            <a:ext uri="{FF2B5EF4-FFF2-40B4-BE49-F238E27FC236}">
              <a16:creationId xmlns:a16="http://schemas.microsoft.com/office/drawing/2014/main" id="{00000000-0008-0000-0A00-00007E040000}"/>
            </a:ext>
          </a:extLst>
        </xdr:cNvPr>
        <xdr:cNvSpPr/>
      </xdr:nvSpPr>
      <xdr:spPr>
        <a:xfrm>
          <a:off x="12195176" y="13219324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886884</xdr:colOff>
      <xdr:row>96</xdr:row>
      <xdr:rowOff>1214967</xdr:rowOff>
    </xdr:from>
    <xdr:to>
      <xdr:col>5</xdr:col>
      <xdr:colOff>1121346</xdr:colOff>
      <xdr:row>96</xdr:row>
      <xdr:rowOff>1442101</xdr:rowOff>
    </xdr:to>
    <xdr:sp macro="" textlink="">
      <xdr:nvSpPr>
        <xdr:cNvPr id="1151" name="Organigramme : Jonction de sommaire 1150">
          <a:extLst>
            <a:ext uri="{FF2B5EF4-FFF2-40B4-BE49-F238E27FC236}">
              <a16:creationId xmlns:a16="http://schemas.microsoft.com/office/drawing/2014/main" id="{00000000-0008-0000-0A00-00007F040000}"/>
            </a:ext>
          </a:extLst>
        </xdr:cNvPr>
        <xdr:cNvSpPr/>
      </xdr:nvSpPr>
      <xdr:spPr>
        <a:xfrm>
          <a:off x="11576051" y="13218371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1262024</xdr:colOff>
      <xdr:row>94</xdr:row>
      <xdr:rowOff>725439</xdr:rowOff>
    </xdr:from>
    <xdr:to>
      <xdr:col>5</xdr:col>
      <xdr:colOff>1496486</xdr:colOff>
      <xdr:row>94</xdr:row>
      <xdr:rowOff>952573</xdr:rowOff>
    </xdr:to>
    <xdr:sp macro="" textlink="">
      <xdr:nvSpPr>
        <xdr:cNvPr id="1152" name="Organigramme : Jonction de sommaire 1151">
          <a:extLst>
            <a:ext uri="{FF2B5EF4-FFF2-40B4-BE49-F238E27FC236}">
              <a16:creationId xmlns:a16="http://schemas.microsoft.com/office/drawing/2014/main" id="{00000000-0008-0000-0A00-000080040000}"/>
            </a:ext>
          </a:extLst>
        </xdr:cNvPr>
        <xdr:cNvSpPr/>
      </xdr:nvSpPr>
      <xdr:spPr>
        <a:xfrm>
          <a:off x="11951191" y="12763018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1270481</xdr:colOff>
      <xdr:row>94</xdr:row>
      <xdr:rowOff>1200857</xdr:rowOff>
    </xdr:from>
    <xdr:to>
      <xdr:col>5</xdr:col>
      <xdr:colOff>1504943</xdr:colOff>
      <xdr:row>94</xdr:row>
      <xdr:rowOff>1427991</xdr:rowOff>
    </xdr:to>
    <xdr:sp macro="" textlink="">
      <xdr:nvSpPr>
        <xdr:cNvPr id="1153" name="Organigramme : Jonction de sommaire 1152">
          <a:extLst>
            <a:ext uri="{FF2B5EF4-FFF2-40B4-BE49-F238E27FC236}">
              <a16:creationId xmlns:a16="http://schemas.microsoft.com/office/drawing/2014/main" id="{00000000-0008-0000-0A00-000081040000}"/>
            </a:ext>
          </a:extLst>
        </xdr:cNvPr>
        <xdr:cNvSpPr/>
      </xdr:nvSpPr>
      <xdr:spPr>
        <a:xfrm>
          <a:off x="11959648" y="12810560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1262023</xdr:colOff>
      <xdr:row>97</xdr:row>
      <xdr:rowOff>736023</xdr:rowOff>
    </xdr:from>
    <xdr:to>
      <xdr:col>5</xdr:col>
      <xdr:colOff>1496485</xdr:colOff>
      <xdr:row>97</xdr:row>
      <xdr:rowOff>963157</xdr:rowOff>
    </xdr:to>
    <xdr:sp macro="" textlink="">
      <xdr:nvSpPr>
        <xdr:cNvPr id="1154" name="Organigramme : Jonction de sommaire 1153">
          <a:extLst>
            <a:ext uri="{FF2B5EF4-FFF2-40B4-BE49-F238E27FC236}">
              <a16:creationId xmlns:a16="http://schemas.microsoft.com/office/drawing/2014/main" id="{00000000-0008-0000-0A00-000082040000}"/>
            </a:ext>
          </a:extLst>
        </xdr:cNvPr>
        <xdr:cNvSpPr/>
      </xdr:nvSpPr>
      <xdr:spPr>
        <a:xfrm>
          <a:off x="11951190" y="1337367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1270480</xdr:colOff>
      <xdr:row>97</xdr:row>
      <xdr:rowOff>1211440</xdr:rowOff>
    </xdr:from>
    <xdr:to>
      <xdr:col>5</xdr:col>
      <xdr:colOff>1504942</xdr:colOff>
      <xdr:row>97</xdr:row>
      <xdr:rowOff>1438574</xdr:rowOff>
    </xdr:to>
    <xdr:sp macro="" textlink="">
      <xdr:nvSpPr>
        <xdr:cNvPr id="1155" name="Organigramme : Jonction de sommaire 1154">
          <a:extLst>
            <a:ext uri="{FF2B5EF4-FFF2-40B4-BE49-F238E27FC236}">
              <a16:creationId xmlns:a16="http://schemas.microsoft.com/office/drawing/2014/main" id="{00000000-0008-0000-0A00-000083040000}"/>
            </a:ext>
          </a:extLst>
        </xdr:cNvPr>
        <xdr:cNvSpPr/>
      </xdr:nvSpPr>
      <xdr:spPr>
        <a:xfrm>
          <a:off x="11959647" y="13421219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5</xdr:col>
      <xdr:colOff>397584</xdr:colOff>
      <xdr:row>156</xdr:row>
      <xdr:rowOff>161751</xdr:rowOff>
    </xdr:from>
    <xdr:to>
      <xdr:col>5</xdr:col>
      <xdr:colOff>2571928</xdr:colOff>
      <xdr:row>156</xdr:row>
      <xdr:rowOff>1968375</xdr:rowOff>
    </xdr:to>
    <xdr:pic>
      <xdr:nvPicPr>
        <xdr:cNvPr id="1156" name="Image 1155">
          <a:extLst>
            <a:ext uri="{FF2B5EF4-FFF2-40B4-BE49-F238E27FC236}">
              <a16:creationId xmlns:a16="http://schemas.microsoft.com/office/drawing/2014/main" id="{00000000-0008-0000-0A00-00008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11086751" y="259707418"/>
          <a:ext cx="2174344" cy="1806624"/>
        </a:xfrm>
        <a:prstGeom prst="rect">
          <a:avLst/>
        </a:prstGeom>
      </xdr:spPr>
    </xdr:pic>
    <xdr:clientData/>
  </xdr:twoCellAnchor>
  <xdr:twoCellAnchor editAs="oneCell">
    <xdr:from>
      <xdr:col>5</xdr:col>
      <xdr:colOff>287834</xdr:colOff>
      <xdr:row>155</xdr:row>
      <xdr:rowOff>163750</xdr:rowOff>
    </xdr:from>
    <xdr:to>
      <xdr:col>5</xdr:col>
      <xdr:colOff>2493084</xdr:colOff>
      <xdr:row>155</xdr:row>
      <xdr:rowOff>1956507</xdr:rowOff>
    </xdr:to>
    <xdr:pic>
      <xdr:nvPicPr>
        <xdr:cNvPr id="1157" name="Image 1156">
          <a:extLst>
            <a:ext uri="{FF2B5EF4-FFF2-40B4-BE49-F238E27FC236}">
              <a16:creationId xmlns:a16="http://schemas.microsoft.com/office/drawing/2014/main" id="{00000000-0008-0000-0A00-00008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10977001" y="257677417"/>
          <a:ext cx="2205250" cy="1792757"/>
        </a:xfrm>
        <a:prstGeom prst="rect">
          <a:avLst/>
        </a:prstGeom>
      </xdr:spPr>
    </xdr:pic>
    <xdr:clientData/>
  </xdr:twoCellAnchor>
  <xdr:twoCellAnchor editAs="oneCell">
    <xdr:from>
      <xdr:col>5</xdr:col>
      <xdr:colOff>331051</xdr:colOff>
      <xdr:row>157</xdr:row>
      <xdr:rowOff>121750</xdr:rowOff>
    </xdr:from>
    <xdr:to>
      <xdr:col>5</xdr:col>
      <xdr:colOff>2562182</xdr:colOff>
      <xdr:row>157</xdr:row>
      <xdr:rowOff>1936625</xdr:rowOff>
    </xdr:to>
    <xdr:pic>
      <xdr:nvPicPr>
        <xdr:cNvPr id="1158" name="Image 1157">
          <a:extLst>
            <a:ext uri="{FF2B5EF4-FFF2-40B4-BE49-F238E27FC236}">
              <a16:creationId xmlns:a16="http://schemas.microsoft.com/office/drawing/2014/main" id="{00000000-0008-0000-0A00-00008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11020218" y="261699417"/>
          <a:ext cx="2231131" cy="1814875"/>
        </a:xfrm>
        <a:prstGeom prst="rect">
          <a:avLst/>
        </a:prstGeom>
      </xdr:spPr>
    </xdr:pic>
    <xdr:clientData/>
  </xdr:twoCellAnchor>
  <xdr:twoCellAnchor editAs="oneCell">
    <xdr:from>
      <xdr:col>5</xdr:col>
      <xdr:colOff>232834</xdr:colOff>
      <xdr:row>153</xdr:row>
      <xdr:rowOff>89250</xdr:rowOff>
    </xdr:from>
    <xdr:to>
      <xdr:col>5</xdr:col>
      <xdr:colOff>2540709</xdr:colOff>
      <xdr:row>153</xdr:row>
      <xdr:rowOff>1951286</xdr:rowOff>
    </xdr:to>
    <xdr:pic>
      <xdr:nvPicPr>
        <xdr:cNvPr id="1159" name="Image 1158">
          <a:extLst>
            <a:ext uri="{FF2B5EF4-FFF2-40B4-BE49-F238E27FC236}">
              <a16:creationId xmlns:a16="http://schemas.microsoft.com/office/drawing/2014/main" id="{00000000-0008-0000-0A00-00008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10922001" y="253538917"/>
          <a:ext cx="2307875" cy="1862036"/>
        </a:xfrm>
        <a:prstGeom prst="rect">
          <a:avLst/>
        </a:prstGeom>
      </xdr:spPr>
    </xdr:pic>
    <xdr:clientData/>
  </xdr:twoCellAnchor>
  <xdr:twoCellAnchor editAs="oneCell">
    <xdr:from>
      <xdr:col>5</xdr:col>
      <xdr:colOff>277709</xdr:colOff>
      <xdr:row>152</xdr:row>
      <xdr:rowOff>158750</xdr:rowOff>
    </xdr:from>
    <xdr:to>
      <xdr:col>5</xdr:col>
      <xdr:colOff>2524834</xdr:colOff>
      <xdr:row>152</xdr:row>
      <xdr:rowOff>1956450</xdr:rowOff>
    </xdr:to>
    <xdr:pic>
      <xdr:nvPicPr>
        <xdr:cNvPr id="1160" name="Image 1159">
          <a:extLst>
            <a:ext uri="{FF2B5EF4-FFF2-40B4-BE49-F238E27FC236}">
              <a16:creationId xmlns:a16="http://schemas.microsoft.com/office/drawing/2014/main" id="{00000000-0008-0000-0A00-00008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10966876" y="251576417"/>
          <a:ext cx="2247125" cy="179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283057</xdr:colOff>
      <xdr:row>154</xdr:row>
      <xdr:rowOff>134875</xdr:rowOff>
    </xdr:from>
    <xdr:to>
      <xdr:col>5</xdr:col>
      <xdr:colOff>2522375</xdr:colOff>
      <xdr:row>154</xdr:row>
      <xdr:rowOff>1936625</xdr:rowOff>
    </xdr:to>
    <xdr:pic>
      <xdr:nvPicPr>
        <xdr:cNvPr id="1161" name="Image 1160">
          <a:extLst>
            <a:ext uri="{FF2B5EF4-FFF2-40B4-BE49-F238E27FC236}">
              <a16:creationId xmlns:a16="http://schemas.microsoft.com/office/drawing/2014/main" id="{00000000-0008-0000-0A00-00008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10972224" y="255616542"/>
          <a:ext cx="2239318" cy="1801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&#233;cile/Desktop/Fichier%20Prix%20Pergola%20&#224;%20remanier/COM-FOO2-18-0752-IRFTS-PERGOLA-KIT-COMMANDE-V2.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&#233;cile/AppData/Local/Microsoft/Windows/INetCache/Content.Outlook/322TVFKJ/Tarif%202018-1/COM-FOO2-17-0639-IRFTS-EASY%20ROOF%20TOP-COMMANDE-V1.1.3_02-01-2018-16-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Vue rapide"/>
      <sheetName val="Définition Pergosolar"/>
      <sheetName val="SAV"/>
      <sheetName val="Nomenclature"/>
      <sheetName val="Outils vue rapide"/>
      <sheetName val="Liste Module  Onduleur,.."/>
      <sheetName val="Traduction"/>
      <sheetName val="Info"/>
      <sheetName val="Catalogue"/>
    </sheetNames>
    <sheetDataSet>
      <sheetData sheetId="0"/>
      <sheetData sheetId="1"/>
      <sheetData sheetId="2">
        <row r="10">
          <cell r="G10" t="str">
            <v>4x3 4 Pieds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>2x2 2 Pieds</v>
          </cell>
          <cell r="D4" t="str">
            <v>Catalogue!$E$4</v>
          </cell>
        </row>
        <row r="5">
          <cell r="C5" t="str">
            <v>2x2 4 Pieds</v>
          </cell>
          <cell r="D5" t="str">
            <v>Catalogue!$E$5</v>
          </cell>
        </row>
        <row r="6">
          <cell r="C6" t="str">
            <v>2x3 2 Pieds</v>
          </cell>
          <cell r="D6" t="str">
            <v>Catalogue!$E$6</v>
          </cell>
        </row>
        <row r="7">
          <cell r="C7" t="str">
            <v>2x3 4 Pieds</v>
          </cell>
          <cell r="D7" t="str">
            <v>Catalogue!$E$7</v>
          </cell>
        </row>
        <row r="8">
          <cell r="C8" t="str">
            <v>3x2 2 Pieds</v>
          </cell>
          <cell r="D8" t="str">
            <v>Catalogue!$E$8</v>
          </cell>
        </row>
        <row r="9">
          <cell r="C9" t="str">
            <v>3x2 4 Pieds</v>
          </cell>
          <cell r="D9" t="str">
            <v>Catalogue!$E$9</v>
          </cell>
        </row>
        <row r="10">
          <cell r="C10" t="str">
            <v>3x3 2 Pieds</v>
          </cell>
          <cell r="D10" t="str">
            <v>Catalogue!$E$10</v>
          </cell>
        </row>
        <row r="11">
          <cell r="C11" t="str">
            <v>3x3 4 Pieds</v>
          </cell>
          <cell r="D11" t="str">
            <v>Catalogue!$E$11</v>
          </cell>
        </row>
        <row r="12">
          <cell r="C12" t="str">
            <v>4x2 2 Pieds</v>
          </cell>
          <cell r="D12" t="str">
            <v>Catalogue!$E$12</v>
          </cell>
        </row>
        <row r="13">
          <cell r="C13" t="str">
            <v>4x2 4 Pieds</v>
          </cell>
          <cell r="D13" t="str">
            <v>Catalogue!$E$13</v>
          </cell>
          <cell r="Q13">
            <v>1</v>
          </cell>
          <cell r="R13" t="str">
            <v>Catalogue!$S$13</v>
          </cell>
        </row>
        <row r="14">
          <cell r="C14" t="str">
            <v>4x3 2 Pieds</v>
          </cell>
          <cell r="D14" t="str">
            <v>Catalogue!$E$14</v>
          </cell>
          <cell r="Q14">
            <v>0</v>
          </cell>
          <cell r="R14" t="str">
            <v>Catalogue!$S$14</v>
          </cell>
        </row>
        <row r="15">
          <cell r="C15" t="str">
            <v>4x3 4 Pieds</v>
          </cell>
          <cell r="D15" t="str">
            <v>Catalogue!$E$15</v>
          </cell>
          <cell r="Q15">
            <v>1</v>
          </cell>
        </row>
        <row r="18">
          <cell r="E18">
            <v>0</v>
          </cell>
          <cell r="F18" t="str">
            <v>Catalogue!$G$18</v>
          </cell>
          <cell r="K18">
            <v>0</v>
          </cell>
          <cell r="L18" t="str">
            <v>Catalogue!$M$18</v>
          </cell>
        </row>
        <row r="19">
          <cell r="E19">
            <v>0</v>
          </cell>
          <cell r="F19" t="str">
            <v>Catalogue!$G$19</v>
          </cell>
          <cell r="K19">
            <v>0</v>
          </cell>
          <cell r="L19" t="str">
            <v>Catalogue!$M$19</v>
          </cell>
        </row>
        <row r="20">
          <cell r="E20">
            <v>0</v>
          </cell>
          <cell r="F20" t="str">
            <v>Catalogue!$G$20</v>
          </cell>
          <cell r="K20">
            <v>0</v>
          </cell>
          <cell r="L20" t="str">
            <v>Catalogue!$M$20</v>
          </cell>
        </row>
        <row r="21">
          <cell r="E21">
            <v>0</v>
          </cell>
          <cell r="F21" t="str">
            <v>Catalogue!$G$21</v>
          </cell>
          <cell r="K21">
            <v>0</v>
          </cell>
          <cell r="L21" t="str">
            <v>Catalogue!$M$21</v>
          </cell>
        </row>
        <row r="22">
          <cell r="E22">
            <v>0</v>
          </cell>
          <cell r="F22" t="str">
            <v>Catalogue!$G$22</v>
          </cell>
          <cell r="K22">
            <v>0</v>
          </cell>
          <cell r="L22" t="str">
            <v>Catalogue!$M$22</v>
          </cell>
        </row>
        <row r="23">
          <cell r="E23">
            <v>0</v>
          </cell>
          <cell r="F23" t="str">
            <v>Catalogue!$G$23</v>
          </cell>
          <cell r="K23">
            <v>0</v>
          </cell>
          <cell r="L23" t="str">
            <v>Catalogue!$M$23</v>
          </cell>
        </row>
        <row r="24">
          <cell r="E24">
            <v>0</v>
          </cell>
          <cell r="F24" t="str">
            <v>Catalogue!$G$24</v>
          </cell>
          <cell r="K24">
            <v>0</v>
          </cell>
          <cell r="L24" t="str">
            <v>Catalogue!$M$24</v>
          </cell>
        </row>
        <row r="25">
          <cell r="E25">
            <v>0</v>
          </cell>
          <cell r="F25" t="str">
            <v>Catalogue!$G$25</v>
          </cell>
          <cell r="K25">
            <v>0</v>
          </cell>
          <cell r="L25" t="str">
            <v>Catalogue!$M$25</v>
          </cell>
        </row>
        <row r="26">
          <cell r="E26">
            <v>0</v>
          </cell>
          <cell r="F26" t="str">
            <v>Catalogue!$G$26</v>
          </cell>
          <cell r="K26">
            <v>0</v>
          </cell>
          <cell r="L26" t="str">
            <v>Catalogue!$M$26</v>
          </cell>
        </row>
        <row r="27">
          <cell r="E27">
            <v>0</v>
          </cell>
          <cell r="F27" t="str">
            <v>Catalogue!$G$27</v>
          </cell>
          <cell r="K27">
            <v>0</v>
          </cell>
          <cell r="L27" t="str">
            <v>Catalogue!$M$27</v>
          </cell>
        </row>
        <row r="28">
          <cell r="E28">
            <v>0</v>
          </cell>
          <cell r="F28" t="str">
            <v>Catalogue!$G$28</v>
          </cell>
          <cell r="K28">
            <v>0</v>
          </cell>
          <cell r="L28" t="str">
            <v>Catalogue!$M$28</v>
          </cell>
        </row>
        <row r="29">
          <cell r="E29">
            <v>0</v>
          </cell>
          <cell r="F29" t="str">
            <v>Catalogue!$G$29</v>
          </cell>
          <cell r="K29">
            <v>0</v>
          </cell>
          <cell r="L29" t="str">
            <v>Catalogue!$M$29</v>
          </cell>
        </row>
        <row r="30">
          <cell r="E30">
            <v>0</v>
          </cell>
          <cell r="F30" t="str">
            <v>Catalogue!$G$30</v>
          </cell>
          <cell r="K30">
            <v>0</v>
          </cell>
          <cell r="L30" t="str">
            <v>Catalogue!$M$30</v>
          </cell>
        </row>
        <row r="31">
          <cell r="E31">
            <v>0</v>
          </cell>
          <cell r="F31" t="str">
            <v>Catalogue!$G$31</v>
          </cell>
          <cell r="K31">
            <v>0</v>
          </cell>
          <cell r="L31" t="str">
            <v>Catalogue!$M$31</v>
          </cell>
        </row>
        <row r="32">
          <cell r="E32">
            <v>0</v>
          </cell>
          <cell r="F32" t="str">
            <v>Catalogue!$G$32</v>
          </cell>
          <cell r="K32">
            <v>0</v>
          </cell>
          <cell r="L32" t="str">
            <v>Catalogue!$M$32</v>
          </cell>
        </row>
        <row r="33">
          <cell r="E33">
            <v>0</v>
          </cell>
          <cell r="F33" t="str">
            <v>Catalogue!$G$33</v>
          </cell>
          <cell r="K33">
            <v>0</v>
          </cell>
          <cell r="L33" t="str">
            <v>Catalogue!$M$33</v>
          </cell>
        </row>
        <row r="34">
          <cell r="E34">
            <v>0</v>
          </cell>
          <cell r="F34" t="str">
            <v>Catalogue!$G$34</v>
          </cell>
          <cell r="K34">
            <v>0</v>
          </cell>
          <cell r="L34" t="str">
            <v>Catalogue!$M$34</v>
          </cell>
        </row>
        <row r="35">
          <cell r="E35">
            <v>0</v>
          </cell>
          <cell r="F35" t="str">
            <v>Catalogue!$G$35</v>
          </cell>
          <cell r="K35">
            <v>0</v>
          </cell>
          <cell r="L35" t="str">
            <v>Catalogue!$M$35</v>
          </cell>
        </row>
        <row r="36">
          <cell r="E36">
            <v>0</v>
          </cell>
          <cell r="F36" t="str">
            <v>Catalogue!$G$36</v>
          </cell>
          <cell r="K36">
            <v>0</v>
          </cell>
          <cell r="L36" t="str">
            <v>Catalogue!$M$36</v>
          </cell>
        </row>
        <row r="37">
          <cell r="E37">
            <v>0</v>
          </cell>
          <cell r="F37" t="str">
            <v>Catalogue!$G$37</v>
          </cell>
          <cell r="K37">
            <v>0</v>
          </cell>
          <cell r="L37" t="str">
            <v>Catalogue!$M$37</v>
          </cell>
        </row>
        <row r="38">
          <cell r="E38">
            <v>0</v>
          </cell>
          <cell r="F38" t="str">
            <v>Catalogue!$G$38</v>
          </cell>
          <cell r="K38">
            <v>0</v>
          </cell>
          <cell r="L38" t="str">
            <v>Catalogue!$M$38</v>
          </cell>
        </row>
        <row r="39">
          <cell r="E39">
            <v>0</v>
          </cell>
          <cell r="F39" t="str">
            <v>Catalogue!$G$39</v>
          </cell>
          <cell r="K39">
            <v>0</v>
          </cell>
          <cell r="L39" t="str">
            <v>Catalogue!$M$39</v>
          </cell>
        </row>
        <row r="40">
          <cell r="E40">
            <v>0</v>
          </cell>
          <cell r="F40" t="str">
            <v>Catalogue!$G$40</v>
          </cell>
          <cell r="K40">
            <v>0</v>
          </cell>
          <cell r="L40" t="str">
            <v>Catalogue!$M$40</v>
          </cell>
        </row>
        <row r="41">
          <cell r="E41">
            <v>0</v>
          </cell>
          <cell r="F41" t="str">
            <v>Catalogue!$G$41</v>
          </cell>
          <cell r="K41">
            <v>0</v>
          </cell>
          <cell r="L41" t="str">
            <v>Catalogue!$M$41</v>
          </cell>
        </row>
        <row r="42">
          <cell r="E42">
            <v>0</v>
          </cell>
          <cell r="F42" t="str">
            <v>Catalogue!$G$42</v>
          </cell>
          <cell r="K42">
            <v>0</v>
          </cell>
          <cell r="L42" t="str">
            <v>Catalogue!$M$42</v>
          </cell>
        </row>
        <row r="43">
          <cell r="E43">
            <v>0</v>
          </cell>
          <cell r="F43" t="str">
            <v>Catalogue!$G$43</v>
          </cell>
          <cell r="K43">
            <v>0</v>
          </cell>
          <cell r="L43" t="str">
            <v>Catalogue!$M$43</v>
          </cell>
        </row>
        <row r="44">
          <cell r="E44">
            <v>0</v>
          </cell>
          <cell r="F44" t="str">
            <v>Catalogue!$G$44</v>
          </cell>
          <cell r="K44">
            <v>0</v>
          </cell>
          <cell r="L44" t="str">
            <v>Catalogue!$M$44</v>
          </cell>
        </row>
        <row r="45">
          <cell r="E45">
            <v>0</v>
          </cell>
          <cell r="F45" t="str">
            <v>Catalogue!$G$45</v>
          </cell>
          <cell r="K45">
            <v>0</v>
          </cell>
          <cell r="L45" t="str">
            <v>Catalogue!$M$45</v>
          </cell>
        </row>
        <row r="46">
          <cell r="E46">
            <v>0</v>
          </cell>
          <cell r="F46" t="str">
            <v>Catalogue!$G$46</v>
          </cell>
          <cell r="K46">
            <v>0</v>
          </cell>
          <cell r="L46" t="str">
            <v>Catalogue!$M$46</v>
          </cell>
        </row>
        <row r="47">
          <cell r="E47">
            <v>0</v>
          </cell>
          <cell r="F47" t="str">
            <v>Catalogue!$G$47</v>
          </cell>
          <cell r="K47">
            <v>0</v>
          </cell>
          <cell r="L47" t="str">
            <v>Catalogue!$M$47</v>
          </cell>
        </row>
        <row r="48">
          <cell r="E48">
            <v>0</v>
          </cell>
          <cell r="F48" t="str">
            <v>Catalogue!$G$48</v>
          </cell>
          <cell r="K48">
            <v>0</v>
          </cell>
          <cell r="L48" t="str">
            <v>Catalogue!$M$48</v>
          </cell>
        </row>
        <row r="49">
          <cell r="E49">
            <v>0</v>
          </cell>
          <cell r="F49" t="str">
            <v>Catalogue!$G$49</v>
          </cell>
          <cell r="K49">
            <v>0</v>
          </cell>
          <cell r="L49" t="str">
            <v>Catalogue!$M$49</v>
          </cell>
        </row>
        <row r="50">
          <cell r="E50">
            <v>0</v>
          </cell>
          <cell r="F50" t="str">
            <v>Catalogue!$G$50</v>
          </cell>
          <cell r="K50">
            <v>0</v>
          </cell>
          <cell r="L50" t="str">
            <v>Catalogue!$M$50</v>
          </cell>
        </row>
        <row r="51">
          <cell r="E51">
            <v>0</v>
          </cell>
          <cell r="F51" t="str">
            <v>Catalogue!$G$51</v>
          </cell>
          <cell r="K51">
            <v>0</v>
          </cell>
          <cell r="L51" t="str">
            <v>Catalogue!$M$51</v>
          </cell>
        </row>
        <row r="52">
          <cell r="E52">
            <v>0</v>
          </cell>
          <cell r="F52" t="str">
            <v>Catalogue!$G$52</v>
          </cell>
          <cell r="K52">
            <v>0</v>
          </cell>
          <cell r="L52" t="str">
            <v>Catalogue!$M$52</v>
          </cell>
        </row>
        <row r="53">
          <cell r="E53">
            <v>0</v>
          </cell>
          <cell r="F53" t="str">
            <v>Catalogue!$G$53</v>
          </cell>
          <cell r="K53">
            <v>0</v>
          </cell>
          <cell r="L53" t="str">
            <v>Catalogue!$M$53</v>
          </cell>
        </row>
        <row r="54">
          <cell r="E54">
            <v>0</v>
          </cell>
          <cell r="F54" t="str">
            <v>Catalogue!$G$54</v>
          </cell>
          <cell r="K54">
            <v>0</v>
          </cell>
          <cell r="L54" t="str">
            <v>Catalogue!$M$54</v>
          </cell>
        </row>
        <row r="55">
          <cell r="E55">
            <v>0</v>
          </cell>
          <cell r="F55" t="str">
            <v>Catalogue!$G$55</v>
          </cell>
          <cell r="K55">
            <v>0</v>
          </cell>
          <cell r="L55" t="str">
            <v>Catalogue!$M$55</v>
          </cell>
        </row>
        <row r="56">
          <cell r="E56">
            <v>0</v>
          </cell>
          <cell r="F56" t="str">
            <v>Catalogue!$G$56</v>
          </cell>
          <cell r="K56">
            <v>0</v>
          </cell>
          <cell r="L56" t="str">
            <v>Catalogue!$M$56</v>
          </cell>
        </row>
        <row r="57">
          <cell r="E57">
            <v>0</v>
          </cell>
          <cell r="F57" t="str">
            <v>Catalogue!$G$57</v>
          </cell>
          <cell r="K57">
            <v>0</v>
          </cell>
          <cell r="L57" t="str">
            <v>Catalogue!$M$57</v>
          </cell>
        </row>
        <row r="58">
          <cell r="E58">
            <v>0</v>
          </cell>
          <cell r="F58" t="str">
            <v>Catalogue!$G$58</v>
          </cell>
          <cell r="K58">
            <v>0</v>
          </cell>
          <cell r="L58" t="str">
            <v>Catalogue!$M$58</v>
          </cell>
        </row>
        <row r="59">
          <cell r="E59">
            <v>0</v>
          </cell>
          <cell r="F59" t="str">
            <v>Catalogue!$G$59</v>
          </cell>
          <cell r="K59">
            <v>0</v>
          </cell>
          <cell r="L59" t="str">
            <v>Catalogue!$M$59</v>
          </cell>
        </row>
        <row r="60">
          <cell r="E60">
            <v>0</v>
          </cell>
          <cell r="F60" t="str">
            <v>Catalogue!$G$60</v>
          </cell>
          <cell r="K60">
            <v>0</v>
          </cell>
          <cell r="L60" t="str">
            <v>Catalogue!$M$60</v>
          </cell>
        </row>
        <row r="61">
          <cell r="E61">
            <v>0</v>
          </cell>
          <cell r="F61" t="str">
            <v>Catalogue!$G$61</v>
          </cell>
          <cell r="K61">
            <v>36</v>
          </cell>
          <cell r="L61" t="str">
            <v>Catalogue!$M$61</v>
          </cell>
        </row>
        <row r="62">
          <cell r="E62">
            <v>0</v>
          </cell>
          <cell r="F62" t="str">
            <v>Catalogue!$G$62</v>
          </cell>
          <cell r="K62">
            <v>0</v>
          </cell>
          <cell r="L62" t="str">
            <v>Catalogue!$M$62</v>
          </cell>
        </row>
        <row r="63">
          <cell r="E63">
            <v>0</v>
          </cell>
          <cell r="F63" t="str">
            <v>Catalogue!$G$63</v>
          </cell>
          <cell r="K63">
            <v>0</v>
          </cell>
          <cell r="L63" t="str">
            <v>Catalogue!$M$63</v>
          </cell>
        </row>
        <row r="64">
          <cell r="E64">
            <v>0</v>
          </cell>
          <cell r="F64" t="str">
            <v>Catalogue!$G$64</v>
          </cell>
          <cell r="K64">
            <v>0</v>
          </cell>
          <cell r="L64" t="str">
            <v>Catalogue!$M$64</v>
          </cell>
        </row>
        <row r="65">
          <cell r="E65">
            <v>40</v>
          </cell>
          <cell r="F65" t="str">
            <v>Catalogue!$G$65</v>
          </cell>
          <cell r="K65">
            <v>0</v>
          </cell>
          <cell r="L65" t="str">
            <v>Catalogue!$M$65</v>
          </cell>
        </row>
        <row r="66">
          <cell r="E66">
            <v>0</v>
          </cell>
          <cell r="F66" t="str">
            <v>Catalogue!$G$66</v>
          </cell>
          <cell r="K66">
            <v>0</v>
          </cell>
          <cell r="L66" t="str">
            <v>Catalogue!$M$66</v>
          </cell>
        </row>
        <row r="67">
          <cell r="E67">
            <v>0</v>
          </cell>
          <cell r="F67" t="str">
            <v>Catalogue!$G$67</v>
          </cell>
          <cell r="K67">
            <v>0</v>
          </cell>
          <cell r="L67" t="str">
            <v>Catalogue!$M$67</v>
          </cell>
        </row>
        <row r="68">
          <cell r="E68">
            <v>40</v>
          </cell>
          <cell r="K68">
            <v>36</v>
          </cell>
        </row>
        <row r="71">
          <cell r="D71">
            <v>0</v>
          </cell>
          <cell r="E71" t="str">
            <v>Catalogue!$F$71</v>
          </cell>
          <cell r="G71">
            <v>1</v>
          </cell>
        </row>
        <row r="72">
          <cell r="D72">
            <v>0</v>
          </cell>
          <cell r="E72" t="str">
            <v>Catalogue!$F$72</v>
          </cell>
          <cell r="G72">
            <v>2</v>
          </cell>
        </row>
        <row r="73">
          <cell r="D73">
            <v>0</v>
          </cell>
          <cell r="E73" t="str">
            <v>Catalogue!$F$73</v>
          </cell>
          <cell r="G73">
            <v>3</v>
          </cell>
        </row>
        <row r="74">
          <cell r="D74">
            <v>0</v>
          </cell>
          <cell r="E74" t="str">
            <v>Catalogue!$F$74</v>
          </cell>
          <cell r="G74">
            <v>4</v>
          </cell>
        </row>
        <row r="75">
          <cell r="D75">
            <v>0</v>
          </cell>
          <cell r="E75" t="str">
            <v>Catalogue!$F$75</v>
          </cell>
          <cell r="G75">
            <v>5</v>
          </cell>
        </row>
        <row r="76">
          <cell r="D76">
            <v>0</v>
          </cell>
          <cell r="E76" t="str">
            <v>Catalogue!$F$76</v>
          </cell>
          <cell r="G76">
            <v>6</v>
          </cell>
        </row>
        <row r="77">
          <cell r="D77">
            <v>0</v>
          </cell>
          <cell r="E77" t="str">
            <v>Catalogue!$F$77</v>
          </cell>
          <cell r="G77">
            <v>7</v>
          </cell>
        </row>
        <row r="78">
          <cell r="D78">
            <v>0</v>
          </cell>
          <cell r="E78" t="str">
            <v>Catalogue!$F$78</v>
          </cell>
          <cell r="G78">
            <v>8</v>
          </cell>
        </row>
        <row r="79">
          <cell r="D79">
            <v>0</v>
          </cell>
          <cell r="E79" t="str">
            <v>Catalogue!$F$79</v>
          </cell>
          <cell r="G79">
            <v>9</v>
          </cell>
        </row>
        <row r="80">
          <cell r="D80">
            <v>0</v>
          </cell>
          <cell r="E80" t="str">
            <v>Catalogue!$F$80</v>
          </cell>
          <cell r="G80">
            <v>10</v>
          </cell>
        </row>
        <row r="81">
          <cell r="D81">
            <v>0</v>
          </cell>
          <cell r="E81" t="str">
            <v>Catalogue!$F$81</v>
          </cell>
          <cell r="G81">
            <v>11</v>
          </cell>
        </row>
        <row r="82">
          <cell r="D82">
            <v>0</v>
          </cell>
          <cell r="E82" t="str">
            <v>Catalogue!$F$82</v>
          </cell>
          <cell r="G82">
            <v>12</v>
          </cell>
        </row>
        <row r="83">
          <cell r="D83">
            <v>0</v>
          </cell>
          <cell r="E83" t="str">
            <v>Catalogue!$F$83</v>
          </cell>
          <cell r="G83">
            <v>13</v>
          </cell>
        </row>
        <row r="84">
          <cell r="D84">
            <v>0</v>
          </cell>
          <cell r="E84" t="str">
            <v>Catalogue!$F$84</v>
          </cell>
          <cell r="G84">
            <v>14</v>
          </cell>
        </row>
        <row r="85">
          <cell r="D85">
            <v>0</v>
          </cell>
          <cell r="E85" t="str">
            <v>Catalogue!$F$85</v>
          </cell>
          <cell r="G85">
            <v>15</v>
          </cell>
        </row>
        <row r="86">
          <cell r="D86">
            <v>0</v>
          </cell>
          <cell r="E86" t="str">
            <v>Catalogue!$F$86</v>
          </cell>
          <cell r="G86">
            <v>16</v>
          </cell>
        </row>
        <row r="87">
          <cell r="D87">
            <v>0</v>
          </cell>
          <cell r="E87" t="str">
            <v>Catalogue!$F$87</v>
          </cell>
          <cell r="G87">
            <v>54</v>
          </cell>
        </row>
        <row r="88">
          <cell r="D88">
            <v>0</v>
          </cell>
          <cell r="E88" t="str">
            <v>Catalogue!$F$88</v>
          </cell>
          <cell r="G88">
            <v>55</v>
          </cell>
        </row>
        <row r="89">
          <cell r="D89">
            <v>0</v>
          </cell>
          <cell r="E89" t="str">
            <v>Catalogue!$F$89</v>
          </cell>
          <cell r="G89">
            <v>56</v>
          </cell>
        </row>
        <row r="90">
          <cell r="D90">
            <v>0</v>
          </cell>
          <cell r="E90" t="str">
            <v>Catalogue!$F$90</v>
          </cell>
          <cell r="G90">
            <v>57</v>
          </cell>
        </row>
        <row r="91">
          <cell r="D91">
            <v>0</v>
          </cell>
          <cell r="E91" t="str">
            <v>Catalogue!$F$91</v>
          </cell>
          <cell r="G91">
            <v>58</v>
          </cell>
        </row>
        <row r="92">
          <cell r="D92">
            <v>0</v>
          </cell>
          <cell r="E92" t="str">
            <v>Catalogue!$F$92</v>
          </cell>
          <cell r="G92">
            <v>59</v>
          </cell>
        </row>
        <row r="93">
          <cell r="D93">
            <v>0</v>
          </cell>
          <cell r="E93" t="str">
            <v>Catalogue!$F$93</v>
          </cell>
          <cell r="G93">
            <v>60</v>
          </cell>
        </row>
        <row r="94">
          <cell r="D94">
            <v>0</v>
          </cell>
          <cell r="E94" t="str">
            <v>Catalogue!$F$94</v>
          </cell>
          <cell r="G94">
            <v>61</v>
          </cell>
        </row>
        <row r="95">
          <cell r="D95">
            <v>0</v>
          </cell>
          <cell r="E95" t="str">
            <v>Catalogue!$F$95</v>
          </cell>
          <cell r="G95">
            <v>62</v>
          </cell>
        </row>
        <row r="96">
          <cell r="D96">
            <v>0</v>
          </cell>
          <cell r="E96" t="str">
            <v>Catalogue!$F$96</v>
          </cell>
          <cell r="G96">
            <v>63</v>
          </cell>
        </row>
        <row r="97">
          <cell r="D97">
            <v>0</v>
          </cell>
          <cell r="E97" t="str">
            <v>Catalogue!$F$97</v>
          </cell>
          <cell r="G97">
            <v>64</v>
          </cell>
        </row>
        <row r="98">
          <cell r="D98">
            <v>0</v>
          </cell>
          <cell r="E98" t="str">
            <v>Catalogue!$F$98</v>
          </cell>
          <cell r="G98">
            <v>66</v>
          </cell>
        </row>
        <row r="99">
          <cell r="D99">
            <v>0</v>
          </cell>
          <cell r="E99" t="str">
            <v>Catalogue!$F$99</v>
          </cell>
          <cell r="G99">
            <v>17</v>
          </cell>
        </row>
        <row r="100">
          <cell r="D100">
            <v>0</v>
          </cell>
          <cell r="E100" t="str">
            <v>Catalogue!$F$100</v>
          </cell>
          <cell r="G100">
            <v>18</v>
          </cell>
        </row>
        <row r="101">
          <cell r="D101">
            <v>0</v>
          </cell>
          <cell r="E101" t="str">
            <v>Catalogue!$F$101</v>
          </cell>
          <cell r="G101">
            <v>19</v>
          </cell>
        </row>
        <row r="102">
          <cell r="D102">
            <v>0</v>
          </cell>
          <cell r="E102" t="str">
            <v>Catalogue!$F$102</v>
          </cell>
          <cell r="G102">
            <v>20</v>
          </cell>
        </row>
        <row r="103">
          <cell r="D103">
            <v>0</v>
          </cell>
          <cell r="E103" t="str">
            <v>Catalogue!$F$103</v>
          </cell>
          <cell r="G103">
            <v>21</v>
          </cell>
        </row>
        <row r="104">
          <cell r="D104">
            <v>0</v>
          </cell>
          <cell r="E104" t="str">
            <v>Catalogue!$F$104</v>
          </cell>
          <cell r="G104">
            <v>22</v>
          </cell>
        </row>
        <row r="105">
          <cell r="D105">
            <v>0</v>
          </cell>
          <cell r="E105" t="str">
            <v>Catalogue!$F$105</v>
          </cell>
          <cell r="G105">
            <v>23</v>
          </cell>
        </row>
        <row r="106">
          <cell r="D106">
            <v>0</v>
          </cell>
          <cell r="E106" t="str">
            <v>Catalogue!$F$106</v>
          </cell>
          <cell r="G106">
            <v>24</v>
          </cell>
        </row>
        <row r="107">
          <cell r="D107">
            <v>0</v>
          </cell>
          <cell r="E107" t="str">
            <v>Catalogue!$F$107</v>
          </cell>
          <cell r="G107">
            <v>25</v>
          </cell>
        </row>
        <row r="108">
          <cell r="D108">
            <v>0</v>
          </cell>
          <cell r="E108" t="str">
            <v>Catalogue!$F$108</v>
          </cell>
          <cell r="G108">
            <v>26</v>
          </cell>
        </row>
        <row r="109">
          <cell r="D109">
            <v>0</v>
          </cell>
          <cell r="E109" t="str">
            <v>Catalogue!$F$109</v>
          </cell>
          <cell r="G109">
            <v>27</v>
          </cell>
        </row>
        <row r="110">
          <cell r="D110">
            <v>0</v>
          </cell>
          <cell r="E110" t="str">
            <v>Catalogue!$F$110</v>
          </cell>
          <cell r="G110">
            <v>28</v>
          </cell>
        </row>
        <row r="111">
          <cell r="D111">
            <v>0</v>
          </cell>
          <cell r="E111" t="str">
            <v>Catalogue!$F$111</v>
          </cell>
          <cell r="G111">
            <v>29</v>
          </cell>
        </row>
        <row r="112">
          <cell r="D112">
            <v>0</v>
          </cell>
          <cell r="E112" t="str">
            <v>Catalogue!$F$112</v>
          </cell>
          <cell r="G112">
            <v>30</v>
          </cell>
        </row>
        <row r="113">
          <cell r="D113">
            <v>0</v>
          </cell>
          <cell r="E113" t="str">
            <v>Catalogue!$F$113</v>
          </cell>
          <cell r="G113">
            <v>31</v>
          </cell>
        </row>
        <row r="114">
          <cell r="D114">
            <v>0</v>
          </cell>
          <cell r="E114" t="str">
            <v>Catalogue!$F$114</v>
          </cell>
          <cell r="G114">
            <v>32</v>
          </cell>
        </row>
        <row r="115">
          <cell r="D115">
            <v>0</v>
          </cell>
          <cell r="E115" t="str">
            <v>Catalogue!$F$115</v>
          </cell>
          <cell r="G115">
            <v>33</v>
          </cell>
        </row>
        <row r="116">
          <cell r="D116">
            <v>0</v>
          </cell>
          <cell r="E116" t="str">
            <v>Catalogue!$F$116</v>
          </cell>
          <cell r="G116">
            <v>34</v>
          </cell>
        </row>
        <row r="117">
          <cell r="D117">
            <v>0</v>
          </cell>
          <cell r="E117" t="str">
            <v>Catalogue!$F$117</v>
          </cell>
          <cell r="G117">
            <v>35</v>
          </cell>
        </row>
        <row r="118">
          <cell r="D118">
            <v>0</v>
          </cell>
          <cell r="E118" t="str">
            <v>Catalogue!$F$118</v>
          </cell>
          <cell r="G118">
            <v>36</v>
          </cell>
        </row>
        <row r="119">
          <cell r="D119">
            <v>0</v>
          </cell>
          <cell r="E119" t="str">
            <v>Catalogue!$F$119</v>
          </cell>
          <cell r="G119">
            <v>37</v>
          </cell>
        </row>
        <row r="120">
          <cell r="D120">
            <v>0</v>
          </cell>
          <cell r="E120" t="str">
            <v>Catalogue!$F$120</v>
          </cell>
          <cell r="G120">
            <v>38</v>
          </cell>
        </row>
        <row r="121">
          <cell r="D121">
            <v>0</v>
          </cell>
          <cell r="E121" t="str">
            <v>Catalogue!$F$121</v>
          </cell>
          <cell r="G121">
            <v>39</v>
          </cell>
        </row>
        <row r="122">
          <cell r="D122">
            <v>0</v>
          </cell>
          <cell r="E122" t="str">
            <v>Catalogue!$F$122</v>
          </cell>
          <cell r="G122">
            <v>40</v>
          </cell>
        </row>
        <row r="123">
          <cell r="D123">
            <v>0</v>
          </cell>
          <cell r="E123" t="str">
            <v>Catalogue!$F$123</v>
          </cell>
          <cell r="G123">
            <v>41</v>
          </cell>
        </row>
        <row r="124">
          <cell r="D124">
            <v>0</v>
          </cell>
          <cell r="E124" t="str">
            <v>Catalogue!$F$124</v>
          </cell>
          <cell r="G124">
            <v>42</v>
          </cell>
        </row>
        <row r="125">
          <cell r="D125">
            <v>0</v>
          </cell>
          <cell r="E125" t="str">
            <v>Catalogue!$F$125</v>
          </cell>
          <cell r="G125">
            <v>43</v>
          </cell>
        </row>
        <row r="126">
          <cell r="D126">
            <v>0</v>
          </cell>
          <cell r="E126" t="str">
            <v>Catalogue!$F$126</v>
          </cell>
          <cell r="G126">
            <v>44</v>
          </cell>
        </row>
        <row r="127">
          <cell r="D127">
            <v>0</v>
          </cell>
          <cell r="E127" t="str">
            <v>Catalogue!$F$127</v>
          </cell>
          <cell r="G127">
            <v>45</v>
          </cell>
        </row>
        <row r="128">
          <cell r="D128">
            <v>0</v>
          </cell>
          <cell r="E128" t="str">
            <v>Catalogue!$F$128</v>
          </cell>
          <cell r="G128">
            <v>46</v>
          </cell>
        </row>
        <row r="129">
          <cell r="D129">
            <v>0</v>
          </cell>
          <cell r="E129" t="str">
            <v>Catalogue!$F$129</v>
          </cell>
          <cell r="G129">
            <v>47</v>
          </cell>
        </row>
        <row r="130">
          <cell r="D130">
            <v>0</v>
          </cell>
          <cell r="E130" t="str">
            <v>Catalogue!$F$130</v>
          </cell>
          <cell r="G130">
            <v>48</v>
          </cell>
        </row>
        <row r="131">
          <cell r="D131">
            <v>0</v>
          </cell>
          <cell r="E131" t="str">
            <v>Catalogue!$F$131</v>
          </cell>
          <cell r="G131">
            <v>49</v>
          </cell>
        </row>
        <row r="132">
          <cell r="D132">
            <v>50</v>
          </cell>
          <cell r="E132" t="str">
            <v>Catalogue!$F$132</v>
          </cell>
          <cell r="G132">
            <v>50</v>
          </cell>
        </row>
        <row r="133">
          <cell r="D133">
            <v>0</v>
          </cell>
          <cell r="E133" t="str">
            <v>Catalogue!$F$133</v>
          </cell>
          <cell r="G133">
            <v>51</v>
          </cell>
        </row>
        <row r="134">
          <cell r="D134">
            <v>0</v>
          </cell>
          <cell r="E134" t="str">
            <v>Catalogue!$F$134</v>
          </cell>
          <cell r="G134">
            <v>52</v>
          </cell>
        </row>
        <row r="135">
          <cell r="D135">
            <v>0</v>
          </cell>
          <cell r="E135" t="str">
            <v>Catalogue!$F$135</v>
          </cell>
          <cell r="G135">
            <v>53</v>
          </cell>
        </row>
        <row r="136">
          <cell r="D136">
            <v>50</v>
          </cell>
        </row>
        <row r="140">
          <cell r="D140" t="str">
            <v>Numéro de ligne</v>
          </cell>
        </row>
        <row r="141">
          <cell r="D141">
            <v>1</v>
          </cell>
          <cell r="E141" t="str">
            <v>Catalogue!$F$141</v>
          </cell>
        </row>
        <row r="142">
          <cell r="D142">
            <v>2</v>
          </cell>
          <cell r="E142" t="str">
            <v>Catalogue!$F$142</v>
          </cell>
        </row>
        <row r="143">
          <cell r="D143">
            <v>3</v>
          </cell>
          <cell r="E143" t="str">
            <v>Catalogue!$F$143</v>
          </cell>
        </row>
        <row r="144">
          <cell r="D144">
            <v>4</v>
          </cell>
          <cell r="E144" t="str">
            <v>Catalogue!$F$144</v>
          </cell>
        </row>
        <row r="145">
          <cell r="D145">
            <v>5</v>
          </cell>
          <cell r="E145" t="str">
            <v>Catalogue!$F$145</v>
          </cell>
        </row>
        <row r="146">
          <cell r="D146">
            <v>6</v>
          </cell>
          <cell r="E146" t="str">
            <v>Catalogue!$F$146</v>
          </cell>
        </row>
        <row r="147">
          <cell r="D147">
            <v>7</v>
          </cell>
          <cell r="E147" t="str">
            <v>Catalogue!$F$147</v>
          </cell>
        </row>
        <row r="148">
          <cell r="D148">
            <v>8</v>
          </cell>
          <cell r="E148" t="str">
            <v>Catalogue!$F$148</v>
          </cell>
        </row>
        <row r="149">
          <cell r="D149">
            <v>9</v>
          </cell>
          <cell r="E149" t="str">
            <v>Catalogue!$F$149</v>
          </cell>
        </row>
        <row r="150">
          <cell r="D150">
            <v>10</v>
          </cell>
          <cell r="E150" t="str">
            <v>Catalogue!$F$150</v>
          </cell>
        </row>
        <row r="151">
          <cell r="D151">
            <v>11</v>
          </cell>
          <cell r="E151" t="str">
            <v>Catalogue!$F$151</v>
          </cell>
        </row>
        <row r="152">
          <cell r="D152">
            <v>12</v>
          </cell>
          <cell r="E152" t="str">
            <v>Catalogue!$F$152</v>
          </cell>
        </row>
        <row r="153">
          <cell r="D153">
            <v>32</v>
          </cell>
          <cell r="E153" t="str">
            <v>Catalogue!$F$153</v>
          </cell>
        </row>
        <row r="154">
          <cell r="D154">
            <v>34</v>
          </cell>
          <cell r="E154" t="str">
            <v>Catalogue!$F$154</v>
          </cell>
        </row>
        <row r="155">
          <cell r="D155">
            <v>36</v>
          </cell>
          <cell r="E155" t="str">
            <v>Catalogue!$F$155</v>
          </cell>
        </row>
        <row r="156">
          <cell r="D156">
            <v>38</v>
          </cell>
          <cell r="E156" t="str">
            <v>Catalogue!$F$156</v>
          </cell>
        </row>
        <row r="157">
          <cell r="D157">
            <v>40</v>
          </cell>
          <cell r="E157" t="str">
            <v>Catalogue!$F$157</v>
          </cell>
        </row>
        <row r="158">
          <cell r="D158">
            <v>42</v>
          </cell>
          <cell r="E158" t="str">
            <v>Catalogue!$F$158</v>
          </cell>
        </row>
        <row r="159">
          <cell r="D159">
            <v>13</v>
          </cell>
          <cell r="E159" t="str">
            <v>Catalogue!$F$159</v>
          </cell>
        </row>
        <row r="160">
          <cell r="D160">
            <v>14</v>
          </cell>
          <cell r="E160" t="str">
            <v>Catalogue!$F$160</v>
          </cell>
        </row>
        <row r="161">
          <cell r="D161">
            <v>15</v>
          </cell>
          <cell r="E161" t="str">
            <v>Catalogue!$F$161</v>
          </cell>
        </row>
        <row r="162">
          <cell r="D162">
            <v>16</v>
          </cell>
          <cell r="E162" t="str">
            <v>Catalogue!$F$162</v>
          </cell>
        </row>
        <row r="163">
          <cell r="D163">
            <v>17</v>
          </cell>
          <cell r="E163" t="str">
            <v>Catalogue!$F$163</v>
          </cell>
        </row>
        <row r="164">
          <cell r="D164">
            <v>18</v>
          </cell>
          <cell r="E164" t="str">
            <v>Catalogue!$F$164</v>
          </cell>
        </row>
        <row r="165">
          <cell r="D165">
            <v>19</v>
          </cell>
          <cell r="E165" t="str">
            <v>Catalogue!$F$165</v>
          </cell>
        </row>
        <row r="166">
          <cell r="D166">
            <v>20</v>
          </cell>
          <cell r="E166" t="str">
            <v>Catalogue!$F$166</v>
          </cell>
        </row>
        <row r="167">
          <cell r="D167">
            <v>21</v>
          </cell>
          <cell r="E167" t="str">
            <v>Catalogue!$F$167</v>
          </cell>
        </row>
        <row r="168">
          <cell r="D168">
            <v>22</v>
          </cell>
          <cell r="E168" t="str">
            <v>Catalogue!$F$168</v>
          </cell>
        </row>
        <row r="169">
          <cell r="D169">
            <v>23</v>
          </cell>
          <cell r="E169" t="str">
            <v>Catalogue!$F$169</v>
          </cell>
        </row>
        <row r="170">
          <cell r="D170">
            <v>24</v>
          </cell>
          <cell r="E170" t="str">
            <v>Catalogue!$F$170</v>
          </cell>
        </row>
        <row r="171">
          <cell r="D171">
            <v>25</v>
          </cell>
          <cell r="E171" t="str">
            <v>Catalogue!$F$171</v>
          </cell>
        </row>
        <row r="172">
          <cell r="D172">
            <v>26</v>
          </cell>
          <cell r="E172" t="str">
            <v>Catalogue!$F$172</v>
          </cell>
        </row>
        <row r="173">
          <cell r="D173">
            <v>27</v>
          </cell>
          <cell r="E173" t="str">
            <v>Catalogue!$F$173</v>
          </cell>
        </row>
        <row r="174">
          <cell r="D174">
            <v>28</v>
          </cell>
          <cell r="E174" t="str">
            <v>Catalogue!$F$174</v>
          </cell>
        </row>
        <row r="175">
          <cell r="D175">
            <v>29</v>
          </cell>
          <cell r="E175" t="str">
            <v>Catalogue!$F$175</v>
          </cell>
        </row>
        <row r="176">
          <cell r="D176">
            <v>30</v>
          </cell>
          <cell r="E176" t="str">
            <v>Catalogue!$F$176</v>
          </cell>
        </row>
        <row r="177">
          <cell r="D177">
            <v>31</v>
          </cell>
          <cell r="E177" t="str">
            <v>Catalogue!$F$177</v>
          </cell>
        </row>
        <row r="178">
          <cell r="H17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réation champs PV Portrait"/>
      <sheetName val="Création champs PV Paysage"/>
      <sheetName val="nomenclature"/>
      <sheetName val="traduction"/>
      <sheetName val="Listing"/>
      <sheetName val="positionnement modules"/>
      <sheetName val="positionnement modules Paysage"/>
      <sheetName val="Clip Module"/>
      <sheetName val="Clip Module Paysage"/>
      <sheetName val="Bride double"/>
      <sheetName val="Bride double Paysage"/>
      <sheetName val="Nb module suivent"/>
      <sheetName val="Nb module suivent Paysage"/>
      <sheetName val="Nb module suivent 1"/>
      <sheetName val="Nb Tige filete portrait"/>
      <sheetName val="Nb module suivent 1 Paysage"/>
      <sheetName val="Nb Eclisse"/>
      <sheetName val="Nb Eclisse Paysage"/>
      <sheetName val="Nb crochet"/>
      <sheetName val="Nb crochet Paysage"/>
      <sheetName val="Nb tige filete Paysage"/>
      <sheetName val="Nb tige filete Paysage (2)"/>
      <sheetName val="Terre FR"/>
      <sheetName val="Terre FR Paysage"/>
      <sheetName val="Terre UE"/>
      <sheetName val="Terre UE Paysage"/>
    </sheetNames>
    <sheetDataSet>
      <sheetData sheetId="0"/>
      <sheetData sheetId="1"/>
      <sheetData sheetId="2"/>
      <sheetData sheetId="3"/>
      <sheetData sheetId="4">
        <row r="69">
          <cell r="A69" t="str">
            <v>Instructions :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X5">
            <v>1.02</v>
          </cell>
        </row>
        <row r="6">
          <cell r="BX6">
            <v>0.3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export@irfts.com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commercial.france@irfts.com" TargetMode="External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mailto:export@irfts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R62"/>
  <sheetViews>
    <sheetView showGridLines="0" zoomScale="98" zoomScaleNormal="98" zoomScaleSheetLayoutView="100" workbookViewId="0">
      <selection activeCell="J7" sqref="J7:K7"/>
    </sheetView>
  </sheetViews>
  <sheetFormatPr baseColWidth="10" defaultColWidth="11.5703125" defaultRowHeight="15"/>
  <cols>
    <col min="1" max="1" width="3.7109375" customWidth="1"/>
    <col min="2" max="2" width="11.42578125" customWidth="1"/>
    <col min="3" max="3" width="12.42578125" customWidth="1"/>
    <col min="4" max="4" width="1.7109375" customWidth="1"/>
    <col min="5" max="5" width="16.140625" customWidth="1"/>
    <col min="6" max="6" width="12.140625" customWidth="1"/>
    <col min="7" max="7" width="24.5703125" customWidth="1"/>
    <col min="8" max="15" width="12" customWidth="1"/>
    <col min="16" max="16" width="11.42578125" customWidth="1"/>
    <col min="17" max="17" width="15.140625" customWidth="1"/>
  </cols>
  <sheetData>
    <row r="1" spans="2:17" ht="15.75" thickBot="1"/>
    <row r="2" spans="2:17" ht="15.75" thickTop="1">
      <c r="B2" s="35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2"/>
    </row>
    <row r="3" spans="2:17" ht="31.5">
      <c r="B3" s="662" t="s">
        <v>776</v>
      </c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4"/>
    </row>
    <row r="4" spans="2:17" ht="31.5">
      <c r="B4" s="665" t="s">
        <v>777</v>
      </c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7"/>
    </row>
    <row r="5" spans="2:17" ht="31.5">
      <c r="B5" s="668" t="s">
        <v>778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  <c r="P5" s="669"/>
      <c r="Q5" s="670"/>
    </row>
    <row r="6" spans="2:17" ht="19.5" thickBot="1">
      <c r="B6" s="36"/>
      <c r="G6" s="73" t="s">
        <v>386</v>
      </c>
      <c r="Q6" s="74"/>
    </row>
    <row r="7" spans="2:17" ht="19.5" thickBot="1">
      <c r="B7" s="36"/>
      <c r="G7" s="73" t="s">
        <v>387</v>
      </c>
      <c r="J7" s="673" t="s">
        <v>12</v>
      </c>
      <c r="K7" s="674"/>
      <c r="Q7" s="74"/>
    </row>
    <row r="8" spans="2:17" ht="18.75">
      <c r="B8" s="36"/>
      <c r="F8" s="73"/>
      <c r="G8" s="73" t="s">
        <v>388</v>
      </c>
      <c r="Q8" s="74"/>
    </row>
    <row r="9" spans="2:17">
      <c r="B9" s="36"/>
      <c r="Q9" s="74"/>
    </row>
    <row r="10" spans="2:17" ht="28.5">
      <c r="B10" s="75" t="s">
        <v>401</v>
      </c>
      <c r="O10" t="s">
        <v>389</v>
      </c>
      <c r="Q10" s="74"/>
    </row>
    <row r="11" spans="2:17" ht="13.5" customHeight="1">
      <c r="B11" s="75"/>
      <c r="Q11" s="74"/>
    </row>
    <row r="12" spans="2:17" ht="21.75" customHeight="1">
      <c r="B12" s="675" t="str">
        <f>Traduction!A203</f>
        <v>1/ Dans l'onglet "Definition PERGOSOLAR", renseigner les lignes.</v>
      </c>
      <c r="C12" s="676"/>
      <c r="D12" s="676"/>
      <c r="E12" s="676"/>
      <c r="F12" s="676"/>
      <c r="G12" s="676"/>
      <c r="H12" s="676"/>
      <c r="I12" s="676"/>
      <c r="J12" s="676"/>
      <c r="K12" s="676"/>
      <c r="L12" s="676"/>
      <c r="M12" s="676"/>
      <c r="N12" s="676"/>
      <c r="O12" s="340"/>
      <c r="P12" s="340"/>
      <c r="Q12" s="341"/>
    </row>
    <row r="13" spans="2:17" ht="18" customHeight="1">
      <c r="B13" s="81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3"/>
    </row>
    <row r="14" spans="2:17" ht="22.5" customHeight="1">
      <c r="B14" s="75"/>
      <c r="Q14" s="74"/>
    </row>
    <row r="15" spans="2:17" ht="22.5" customHeight="1">
      <c r="B15" s="75"/>
      <c r="I15" s="337" t="str">
        <f>Traduction!A109</f>
        <v>Répondre aux questions des cases en jaune</v>
      </c>
      <c r="Q15" s="74"/>
    </row>
    <row r="16" spans="2:17" ht="22.5" customHeight="1">
      <c r="B16" s="75"/>
      <c r="Q16" s="74"/>
    </row>
    <row r="17" spans="2:18" ht="22.5" customHeight="1">
      <c r="B17" s="75"/>
      <c r="K17" s="337"/>
      <c r="Q17" s="74"/>
    </row>
    <row r="18" spans="2:18" ht="22.5" customHeight="1">
      <c r="B18" s="75"/>
      <c r="Q18" s="74"/>
    </row>
    <row r="19" spans="2:18" ht="22.5" customHeight="1">
      <c r="B19" s="75"/>
      <c r="Q19" s="74"/>
    </row>
    <row r="20" spans="2:18" ht="22.5" customHeight="1">
      <c r="B20" s="75"/>
      <c r="Q20" s="74"/>
    </row>
    <row r="21" spans="2:18" ht="22.5" customHeight="1">
      <c r="B21" s="75"/>
      <c r="Q21" s="74"/>
    </row>
    <row r="22" spans="2:18" ht="22.5" customHeight="1">
      <c r="B22" s="75"/>
      <c r="Q22" s="74"/>
    </row>
    <row r="23" spans="2:18" ht="22.5" customHeight="1">
      <c r="B23" s="75"/>
      <c r="Q23" s="74"/>
    </row>
    <row r="24" spans="2:18" ht="22.5" customHeight="1">
      <c r="B24" s="75"/>
      <c r="Q24" s="74"/>
    </row>
    <row r="25" spans="2:18" ht="22.5" customHeight="1">
      <c r="B25" s="75"/>
      <c r="Q25" s="74"/>
    </row>
    <row r="26" spans="2:18" ht="28.5">
      <c r="B26" s="75"/>
      <c r="Q26" s="74"/>
    </row>
    <row r="27" spans="2:18" s="408" customFormat="1" ht="22.5" customHeight="1">
      <c r="B27" s="75"/>
      <c r="Q27" s="74"/>
    </row>
    <row r="28" spans="2:18" s="84" customFormat="1" ht="47.25" customHeight="1">
      <c r="B28" s="659" t="str">
        <f>Traduction!A204</f>
        <v>2/ Calcul Eurocodes.</v>
      </c>
      <c r="C28" s="660"/>
      <c r="D28" s="660"/>
      <c r="E28" s="660"/>
      <c r="F28" s="338"/>
      <c r="G28" s="338"/>
      <c r="H28" s="338"/>
      <c r="I28" s="338"/>
      <c r="J28" s="338"/>
      <c r="K28" s="338"/>
      <c r="L28" s="342" t="str">
        <f>Traduction!A109</f>
        <v>Répondre aux questions des cases en jaune</v>
      </c>
      <c r="M28" s="338"/>
      <c r="N28" s="338"/>
      <c r="O28" s="338"/>
      <c r="P28" s="338"/>
      <c r="Q28" s="339"/>
      <c r="R28" s="85"/>
    </row>
    <row r="29" spans="2:18" ht="21"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8"/>
      <c r="R29" s="77"/>
    </row>
    <row r="30" spans="2:18" ht="21"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8"/>
      <c r="R30" s="77"/>
    </row>
    <row r="31" spans="2:18" ht="21"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8"/>
      <c r="R31" s="77"/>
    </row>
    <row r="32" spans="2:18" ht="21"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8"/>
      <c r="R32" s="77"/>
    </row>
    <row r="33" spans="2:18" ht="21"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8"/>
      <c r="R33" s="77"/>
    </row>
    <row r="34" spans="2:18" ht="21"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8"/>
      <c r="R34" s="77"/>
    </row>
    <row r="35" spans="2:18" ht="21"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8"/>
      <c r="R35" s="77"/>
    </row>
    <row r="36" spans="2:18" ht="21"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8"/>
      <c r="R36" s="77"/>
    </row>
    <row r="37" spans="2:18" ht="21"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8"/>
      <c r="R37" s="77"/>
    </row>
    <row r="38" spans="2:18" ht="21"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8"/>
      <c r="R38" s="77"/>
    </row>
    <row r="39" spans="2:18" ht="21"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8"/>
      <c r="R39" s="77"/>
    </row>
    <row r="40" spans="2:18" ht="21"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8"/>
      <c r="R40" s="77"/>
    </row>
    <row r="41" spans="2:18" ht="21"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8"/>
      <c r="R41" s="77"/>
    </row>
    <row r="42" spans="2:18" ht="21">
      <c r="B42" s="76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8"/>
      <c r="R42" s="77"/>
    </row>
    <row r="43" spans="2:18" ht="21">
      <c r="B43" s="76"/>
      <c r="C43" s="77"/>
      <c r="D43" s="77"/>
      <c r="E43" s="77"/>
      <c r="F43" s="77"/>
      <c r="G43" s="77"/>
      <c r="H43" s="77"/>
      <c r="I43" s="77"/>
      <c r="J43" s="77"/>
      <c r="K43" s="77"/>
      <c r="M43" s="77"/>
      <c r="O43" s="77"/>
      <c r="Q43" s="78"/>
      <c r="R43" s="77"/>
    </row>
    <row r="44" spans="2:18" ht="21">
      <c r="B44" s="76"/>
      <c r="C44" s="77"/>
      <c r="D44" s="77"/>
      <c r="E44" s="77"/>
      <c r="F44" s="77"/>
      <c r="G44" s="77"/>
      <c r="H44" s="77"/>
      <c r="I44" s="77"/>
      <c r="J44" s="77"/>
      <c r="K44" s="77"/>
      <c r="M44" s="77"/>
      <c r="O44" s="77"/>
      <c r="P44" s="386" t="str">
        <f>Traduction!A108</f>
        <v>Vérifier que les charges sur la Pergola sont correctes</v>
      </c>
      <c r="Q44" s="78"/>
      <c r="R44" s="77"/>
    </row>
    <row r="45" spans="2:18" s="408" customFormat="1" ht="21">
      <c r="B45" s="76"/>
      <c r="C45" s="77"/>
      <c r="D45" s="77"/>
      <c r="E45" s="77"/>
      <c r="F45" s="77"/>
      <c r="G45" s="77"/>
      <c r="H45" s="77"/>
      <c r="I45" s="77"/>
      <c r="J45" s="77"/>
      <c r="K45" s="77"/>
      <c r="M45" s="77"/>
      <c r="O45" s="77"/>
      <c r="P45" s="343"/>
      <c r="Q45" s="78"/>
      <c r="R45" s="77"/>
    </row>
    <row r="46" spans="2:18" ht="21">
      <c r="B46" s="76" t="str">
        <f>Traduction!A206</f>
        <v>3/Nomenclature IRFTS.</v>
      </c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8"/>
      <c r="R46" s="77"/>
    </row>
    <row r="47" spans="2:18" ht="21">
      <c r="B47" s="659"/>
      <c r="C47" s="660"/>
      <c r="D47" s="660"/>
      <c r="E47" s="660"/>
      <c r="F47" s="660"/>
      <c r="G47" s="660"/>
      <c r="H47" s="660"/>
      <c r="I47" s="660"/>
      <c r="J47" s="660"/>
      <c r="K47" s="660"/>
      <c r="L47" s="660"/>
      <c r="M47" s="660"/>
      <c r="N47" s="660"/>
      <c r="O47" s="660"/>
      <c r="P47" s="660"/>
      <c r="Q47" s="671"/>
      <c r="R47" s="77"/>
    </row>
    <row r="48" spans="2:18" ht="21">
      <c r="B48" s="320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2"/>
      <c r="R48" s="77"/>
    </row>
    <row r="49" spans="2:18" ht="21">
      <c r="B49" s="659"/>
      <c r="C49" s="660"/>
      <c r="D49" s="660"/>
      <c r="E49" s="660"/>
      <c r="F49" s="660"/>
      <c r="G49" s="660"/>
      <c r="H49" s="660"/>
      <c r="I49" s="660"/>
      <c r="J49" s="660"/>
      <c r="K49" s="660"/>
      <c r="L49" s="660"/>
      <c r="M49" s="660"/>
      <c r="N49" s="660"/>
      <c r="O49" s="660"/>
      <c r="P49" s="660"/>
      <c r="Q49" s="671"/>
      <c r="R49" s="77"/>
    </row>
    <row r="50" spans="2:18" ht="21">
      <c r="B50" s="76"/>
      <c r="C50" s="77"/>
      <c r="D50" s="77"/>
      <c r="E50" s="343" t="str">
        <f>Traduction!A107</f>
        <v>Liste de pièces IRFTS en gras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8"/>
      <c r="R50" s="77"/>
    </row>
    <row r="51" spans="2:18" ht="23.25">
      <c r="B51" s="76"/>
      <c r="C51" s="77"/>
      <c r="F51" s="661"/>
      <c r="G51" s="661"/>
      <c r="H51" s="661"/>
      <c r="I51" s="661"/>
      <c r="J51" s="661"/>
      <c r="K51" s="661"/>
      <c r="L51" s="661"/>
      <c r="M51" s="661"/>
      <c r="N51" s="661"/>
      <c r="O51" s="661"/>
      <c r="P51" s="77"/>
      <c r="Q51" s="78"/>
      <c r="R51" s="77"/>
    </row>
    <row r="52" spans="2:18" ht="21">
      <c r="B52" s="76"/>
      <c r="C52" s="77"/>
      <c r="H52" s="69"/>
      <c r="I52" s="69"/>
      <c r="J52" s="69"/>
      <c r="K52" s="69"/>
      <c r="L52" s="69"/>
      <c r="M52" s="69"/>
      <c r="N52" s="69"/>
      <c r="O52" s="69"/>
      <c r="P52" s="77"/>
      <c r="Q52" s="78"/>
      <c r="R52" s="77"/>
    </row>
    <row r="53" spans="2:18" ht="21">
      <c r="B53" s="76"/>
      <c r="C53" s="77"/>
      <c r="F53" s="672"/>
      <c r="G53" s="672"/>
      <c r="H53" s="69"/>
      <c r="I53" s="69"/>
      <c r="J53" s="69"/>
      <c r="K53" s="69"/>
      <c r="L53" s="69"/>
      <c r="M53" s="69"/>
      <c r="N53" s="69"/>
      <c r="O53" s="69"/>
      <c r="P53" s="77"/>
      <c r="Q53" s="78"/>
      <c r="R53" s="77"/>
    </row>
    <row r="54" spans="2:18" ht="21">
      <c r="B54" s="76"/>
      <c r="C54" s="77"/>
      <c r="J54" s="69"/>
      <c r="K54" s="69"/>
      <c r="L54" s="69"/>
      <c r="M54" s="69"/>
      <c r="N54" s="69"/>
      <c r="O54" s="69"/>
      <c r="P54" s="77"/>
      <c r="Q54" s="78"/>
      <c r="R54" s="77"/>
    </row>
    <row r="55" spans="2:18" ht="21">
      <c r="B55" s="76"/>
      <c r="C55" s="77"/>
      <c r="F55" s="77"/>
      <c r="G55" s="120"/>
      <c r="H55" s="69" t="str">
        <f>IF(AND(H54&lt;&gt;Info!E75,H54&lt;&gt;Info!E76,H54&lt;&gt;Info!E77,H54&lt;&gt;Info!E78,H54&lt;&gt;Info!E79,H54&lt;&gt;Info!E80,H54&lt;&gt;Info!E81,H54&lt;&gt;Info!E82),"erreur","")</f>
        <v/>
      </c>
      <c r="I55" s="69" t="str">
        <f>IF(AND(I54&lt;&gt;Info!H75,I54&lt;&gt;Info!H76,I54&lt;&gt;Info!H77,I54&lt;&gt;Info!H78,I54&lt;&gt;Info!H79,I54&lt;&gt;Info!H80,I54&lt;&gt;Info!H81,I54&lt;&gt;Info!H82),"erreur","")</f>
        <v/>
      </c>
      <c r="J55" s="69" t="str">
        <f>IF(AND(J54&lt;&gt;Info!J75,J54&lt;&gt;Info!J76,J54&lt;&gt;Info!J77,J54&lt;&gt;Info!J78,J54&lt;&gt;Info!J79,J54&lt;&gt;Info!J80,J54&lt;&gt;Info!J81,J54&lt;&gt;Info!J82),"erreur","")</f>
        <v/>
      </c>
      <c r="K55" s="69" t="str">
        <f>IF(AND(K54&lt;&gt;Info!K75,K54&lt;&gt;Info!K76,K54&lt;&gt;Info!K77,K54&lt;&gt;Info!K78,K54&lt;&gt;Info!K79,K54&lt;&gt;Info!K80,K54&lt;&gt;Info!K81,K54&lt;&gt;Info!K82),"erreur","")</f>
        <v/>
      </c>
      <c r="L55" s="69" t="str">
        <f>IF(AND(L54&lt;&gt;Info!L75,L54&lt;&gt;Info!L76,L54&lt;&gt;Info!L77,L54&lt;&gt;Info!L78,L54&lt;&gt;Info!L79,L54&lt;&gt;Info!L80,L54&lt;&gt;Info!L81,L54&lt;&gt;Info!L82),"erreur","")</f>
        <v/>
      </c>
      <c r="M55" s="69" t="str">
        <f>IF(AND(M54&lt;&gt;Info!M75,M54&lt;&gt;Info!M76,M54&lt;&gt;Info!M77,M54&lt;&gt;Info!M78,M54&lt;&gt;Info!M79,M54&lt;&gt;Info!M80,M54&lt;&gt;Info!M81,M54&lt;&gt;Info!M82),"erreur","")</f>
        <v/>
      </c>
      <c r="N55" s="69" t="e">
        <f>IF(AND(N54&lt;&gt;Info!#REF!,N54&lt;&gt;Info!N76,N54&lt;&gt;Info!N77,N54&lt;&gt;Info!N78,N54&lt;&gt;Info!N79,N54&lt;&gt;Info!N80,N54&lt;&gt;Info!N81,N54&lt;&gt;Info!N82),"erreur","")</f>
        <v>#REF!</v>
      </c>
      <c r="O55" s="69" t="e">
        <f>IF(AND(O54&lt;&gt;Info!#REF!,O54&lt;&gt;Info!O76,O54&lt;&gt;Info!O77,O54&lt;&gt;Info!O78,O54&lt;&gt;Info!O79,O54&lt;&gt;Info!O80,O54&lt;&gt;Info!O81,O54&lt;&gt;Info!O82),"erreur","")</f>
        <v>#REF!</v>
      </c>
      <c r="P55" s="77"/>
      <c r="Q55" s="78"/>
      <c r="R55" s="77"/>
    </row>
    <row r="56" spans="2:18" ht="21">
      <c r="B56" s="76"/>
      <c r="C56" s="77"/>
      <c r="D56" s="77"/>
      <c r="E56" s="77"/>
      <c r="F56" s="77"/>
      <c r="H56" s="77"/>
      <c r="I56" s="77"/>
      <c r="J56" s="77"/>
      <c r="K56" s="77"/>
      <c r="L56" s="77"/>
      <c r="M56" s="77"/>
      <c r="N56" s="77"/>
      <c r="O56" s="77"/>
      <c r="P56" s="77"/>
      <c r="Q56" s="78"/>
      <c r="R56" s="77"/>
    </row>
    <row r="57" spans="2:18" ht="21">
      <c r="B57" s="76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8"/>
      <c r="R57" s="77"/>
    </row>
    <row r="58" spans="2:18" ht="21">
      <c r="B58" s="76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8"/>
      <c r="R58" s="77"/>
    </row>
    <row r="59" spans="2:18" ht="23.25">
      <c r="B59" s="76"/>
      <c r="C59" s="77"/>
      <c r="D59" s="77"/>
      <c r="F59" s="661"/>
      <c r="G59" s="661"/>
      <c r="H59" s="661"/>
      <c r="I59" s="661"/>
      <c r="J59" s="661"/>
      <c r="K59" s="661"/>
      <c r="L59" s="661"/>
      <c r="M59" s="661"/>
      <c r="N59" s="661"/>
      <c r="O59" s="661"/>
      <c r="P59" s="77"/>
      <c r="Q59" s="78"/>
      <c r="R59" s="77"/>
    </row>
    <row r="60" spans="2:18" s="408" customFormat="1" ht="23.25">
      <c r="B60" s="76"/>
      <c r="C60" s="77"/>
      <c r="D60" s="77"/>
      <c r="F60" s="636"/>
      <c r="G60" s="636"/>
      <c r="H60" s="636"/>
      <c r="I60" s="636"/>
      <c r="J60" s="636"/>
      <c r="K60" s="636"/>
      <c r="L60" s="636"/>
      <c r="M60" s="636"/>
      <c r="N60" s="636"/>
      <c r="O60" s="636"/>
      <c r="P60" s="77"/>
      <c r="Q60" s="78"/>
      <c r="R60" s="77"/>
    </row>
    <row r="61" spans="2:18" ht="15.75" thickBot="1">
      <c r="B61" s="37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80"/>
    </row>
    <row r="62" spans="2:18" ht="15.75" thickTop="1"/>
  </sheetData>
  <sheetProtection algorithmName="SHA-512" hashValue="si1/NZOeoisLm7j5ehh99SiFtbBxBWx5VQ7hDMBabdvkuO6Ephk8bWvBzjsxzNM8epAsYowf2h7D9PqWSyYNuw==" saltValue="ymCtMO4c4D2KY5fHaK7h7w==" spinCount="100000" sheet="1" objects="1" scenarios="1" selectLockedCells="1"/>
  <customSheetViews>
    <customSheetView guid="{D8D7B009-33DC-454B-9FCD-4FE65C8432CF}" scale="70" showGridLines="0" printArea="1">
      <selection activeCell="L25" sqref="L25"/>
      <pageMargins left="0.39370078740157483" right="0.39370078740157483" top="0.74803149606299213" bottom="0.74803149606299213" header="0.31496062992125984" footer="0.31496062992125984"/>
      <printOptions horizontalCentered="1"/>
      <pageSetup paperSize="9" scale="36" orientation="portrait" r:id="rId1"/>
    </customSheetView>
  </customSheetViews>
  <mergeCells count="11">
    <mergeCell ref="B28:E28"/>
    <mergeCell ref="F59:O59"/>
    <mergeCell ref="B3:Q3"/>
    <mergeCell ref="B4:Q4"/>
    <mergeCell ref="B5:Q5"/>
    <mergeCell ref="B47:Q47"/>
    <mergeCell ref="B49:Q49"/>
    <mergeCell ref="F51:O51"/>
    <mergeCell ref="F53:G53"/>
    <mergeCell ref="J7:K7"/>
    <mergeCell ref="B12:N12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36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 xr:uid="{00000000-0002-0000-0000-000014000000}">
          <x14:formula1>
            <xm:f>Info!$E$30:$E$37</xm:f>
          </x14:formula1>
          <xm:sqref>H54</xm:sqref>
        </x14:dataValidation>
        <x14:dataValidation type="list" allowBlank="1" showInputMessage="1" showErrorMessage="1" xr:uid="{00000000-0002-0000-0000-000015000000}">
          <x14:formula1>
            <xm:f>Info!$J$30:$J$37</xm:f>
          </x14:formula1>
          <xm:sqref>M54</xm:sqref>
        </x14:dataValidation>
        <x14:dataValidation type="list" allowBlank="1" showInputMessage="1" showErrorMessage="1" xr:uid="{00000000-0002-0000-0000-000016000000}">
          <x14:formula1>
            <xm:f>Info!$F$30:$F$37</xm:f>
          </x14:formula1>
          <xm:sqref>I54</xm:sqref>
        </x14:dataValidation>
        <x14:dataValidation type="list" allowBlank="1" showInputMessage="1" showErrorMessage="1" xr:uid="{00000000-0002-0000-0000-000017000000}">
          <x14:formula1>
            <xm:f>Info!$F$15:$F$28</xm:f>
          </x14:formula1>
          <xm:sqref>I53</xm:sqref>
        </x14:dataValidation>
        <x14:dataValidation type="list" allowBlank="1" showInputMessage="1" showErrorMessage="1" xr:uid="{00000000-0002-0000-0000-000018000000}">
          <x14:formula1>
            <xm:f>Info!$E$15:$E$28</xm:f>
          </x14:formula1>
          <xm:sqref>H53</xm:sqref>
        </x14:dataValidation>
        <x14:dataValidation type="list" allowBlank="1" showInputMessage="1" showErrorMessage="1" xr:uid="{00000000-0002-0000-0000-000019000000}">
          <x14:formula1>
            <xm:f>Info!$H$15:$H$28</xm:f>
          </x14:formula1>
          <xm:sqref>K53</xm:sqref>
        </x14:dataValidation>
        <x14:dataValidation type="list" allowBlank="1" showInputMessage="1" showErrorMessage="1" xr:uid="{00000000-0002-0000-0000-00001A000000}">
          <x14:formula1>
            <xm:f>Info!$G$15:$G$28</xm:f>
          </x14:formula1>
          <xm:sqref>J53</xm:sqref>
        </x14:dataValidation>
        <x14:dataValidation type="list" allowBlank="1" showInputMessage="1" showErrorMessage="1" xr:uid="{00000000-0002-0000-0000-00001B000000}">
          <x14:formula1>
            <xm:f>Info!$C$2:$C$12</xm:f>
          </x14:formula1>
          <xm:sqref>G16</xm:sqref>
        </x14:dataValidation>
        <x14:dataValidation type="list" allowBlank="1" showInputMessage="1" showErrorMessage="1" xr:uid="{00000000-0002-0000-0000-00001C000000}">
          <x14:formula1>
            <xm:f>Info!$T$2:$T$3</xm:f>
          </x14:formula1>
          <xm:sqref>G18</xm:sqref>
        </x14:dataValidation>
        <x14:dataValidation type="list" allowBlank="1" showInputMessage="1" showErrorMessage="1" xr:uid="{00000000-0002-0000-0000-00001D000000}">
          <x14:formula1>
            <xm:f>Info!$L$2:$L$3</xm:f>
          </x14:formula1>
          <xm:sqref>G23:G25</xm:sqref>
        </x14:dataValidation>
        <x14:dataValidation type="list" allowBlank="1" showInputMessage="1" showErrorMessage="1" xr:uid="{00000000-0002-0000-0000-00001E000000}">
          <x14:formula1>
            <xm:f>Info!$N$2:$N$4</xm:f>
          </x14:formula1>
          <xm:sqref>G21</xm:sqref>
        </x14:dataValidation>
        <x14:dataValidation type="list" allowBlank="1" showInputMessage="1" showErrorMessage="1" xr:uid="{00000000-0002-0000-0000-00001F000000}">
          <x14:formula1>
            <xm:f>Info!$J$2:$J$4</xm:f>
          </x14:formula1>
          <xm:sqref>G17</xm:sqref>
        </x14:dataValidation>
        <x14:dataValidation type="list" allowBlank="1" showInputMessage="1" showErrorMessage="1" xr:uid="{00000000-0002-0000-0000-000020000000}">
          <x14:formula1>
            <xm:f>Info!$I$30:$I$37</xm:f>
          </x14:formula1>
          <xm:sqref>L54</xm:sqref>
        </x14:dataValidation>
        <x14:dataValidation type="list" allowBlank="1" showInputMessage="1" showErrorMessage="1" xr:uid="{00000000-0002-0000-0000-000021000000}">
          <x14:formula1>
            <xm:f>Info!$H$30:$H$37</xm:f>
          </x14:formula1>
          <xm:sqref>K54</xm:sqref>
        </x14:dataValidation>
        <x14:dataValidation type="list" allowBlank="1" showInputMessage="1" showErrorMessage="1" xr:uid="{00000000-0002-0000-0000-000022000000}">
          <x14:formula1>
            <xm:f>Info!$G$30:$G$37</xm:f>
          </x14:formula1>
          <xm:sqref>J54</xm:sqref>
        </x14:dataValidation>
        <x14:dataValidation type="list" allowBlank="1" showInputMessage="1" showErrorMessage="1" xr:uid="{00000000-0002-0000-0000-000023000000}">
          <x14:formula1>
            <xm:f>Info!$N$15:$N$28</xm:f>
          </x14:formula1>
          <xm:sqref>O53</xm:sqref>
        </x14:dataValidation>
        <x14:dataValidation type="list" allowBlank="1" showInputMessage="1" showErrorMessage="1" xr:uid="{00000000-0002-0000-0000-000024000000}">
          <x14:formula1>
            <xm:f>Info!$M$15:$M$28</xm:f>
          </x14:formula1>
          <xm:sqref>N53</xm:sqref>
        </x14:dataValidation>
        <x14:dataValidation type="list" allowBlank="1" showInputMessage="1" showErrorMessage="1" xr:uid="{00000000-0002-0000-0000-000025000000}">
          <x14:formula1>
            <xm:f>Info!$L$15:$L$28</xm:f>
          </x14:formula1>
          <xm:sqref>M53</xm:sqref>
        </x14:dataValidation>
        <x14:dataValidation type="list" allowBlank="1" showInputMessage="1" showErrorMessage="1" xr:uid="{00000000-0002-0000-0000-000026000000}">
          <x14:formula1>
            <xm:f>Info!$K$15:$K$29</xm:f>
          </x14:formula1>
          <xm:sqref>L53</xm:sqref>
        </x14:dataValidation>
        <x14:dataValidation type="list" allowBlank="1" showInputMessage="1" showErrorMessage="1" xr:uid="{00000000-0002-0000-0000-000027000000}">
          <x14:formula1>
            <xm:f>Info!$L$30:$L$37</xm:f>
          </x14:formula1>
          <xm:sqref>O54</xm:sqref>
        </x14:dataValidation>
        <x14:dataValidation type="list" allowBlank="1" showInputMessage="1" showErrorMessage="1" xr:uid="{00000000-0002-0000-0000-000028000000}">
          <x14:formula1>
            <xm:f>Info!$K$30:$K$37</xm:f>
          </x14:formula1>
          <xm:sqref>N54</xm:sqref>
        </x14:dataValidation>
        <x14:dataValidation type="list" allowBlank="1" showInputMessage="1" showErrorMessage="1" xr:uid="{00000000-0002-0000-0000-000029000000}">
          <x14:formula1>
            <xm:f>Traduction!$B$8:$F$8</xm:f>
          </x14:formula1>
          <xm:sqref>J7</xm:sqref>
        </x14:dataValidation>
        <x14:dataValidation type="list" allowBlank="1" showInputMessage="1" showErrorMessage="1" xr:uid="{00000000-0002-0000-0000-00002A000000}">
          <x14:formula1>
            <xm:f>IF($F$23="No",Info!$O$2:$O$7,Info!$L$2)</xm:f>
          </x14:formula1>
          <xm:sqref>G22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5"/>
  <dimension ref="A1:AK188"/>
  <sheetViews>
    <sheetView showGridLines="0" topLeftCell="H1" workbookViewId="0">
      <selection activeCell="Y2" sqref="Y2"/>
    </sheetView>
  </sheetViews>
  <sheetFormatPr baseColWidth="10" defaultRowHeight="15"/>
  <cols>
    <col min="2" max="2" width="19.42578125" bestFit="1" customWidth="1"/>
    <col min="3" max="3" width="16.140625" customWidth="1"/>
    <col min="4" max="4" width="16.42578125" bestFit="1" customWidth="1"/>
    <col min="5" max="5" width="11.28515625" bestFit="1" customWidth="1"/>
    <col min="6" max="6" width="19.28515625" bestFit="1" customWidth="1"/>
    <col min="7" max="7" width="17.42578125" customWidth="1"/>
    <col min="11" max="11" width="13.5703125" bestFit="1" customWidth="1"/>
    <col min="12" max="12" width="18.85546875" bestFit="1" customWidth="1"/>
    <col min="13" max="13" width="14.7109375" bestFit="1" customWidth="1"/>
    <col min="14" max="14" width="22.7109375" customWidth="1"/>
    <col min="15" max="15" width="17.5703125" customWidth="1"/>
    <col min="16" max="16" width="15.140625" customWidth="1"/>
    <col min="17" max="17" width="14.42578125" customWidth="1"/>
  </cols>
  <sheetData>
    <row r="1" spans="1:28">
      <c r="C1" s="292" t="s">
        <v>654</v>
      </c>
      <c r="D1" s="292" t="s">
        <v>655</v>
      </c>
      <c r="E1" s="292" t="s">
        <v>152</v>
      </c>
      <c r="F1" s="292" t="s">
        <v>1004</v>
      </c>
      <c r="G1" s="452" t="s">
        <v>1003</v>
      </c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 t="s">
        <v>1522</v>
      </c>
      <c r="Y1" s="387" t="s">
        <v>1521</v>
      </c>
      <c r="AA1" t="s">
        <v>1520</v>
      </c>
      <c r="AB1" t="s">
        <v>641</v>
      </c>
    </row>
    <row r="2" spans="1:28" ht="16.5" thickBot="1">
      <c r="B2" s="284" t="s">
        <v>0</v>
      </c>
      <c r="C2" s="392" t="s">
        <v>745</v>
      </c>
      <c r="D2" s="289">
        <f>IF($C$14=C2,1,0)</f>
        <v>0</v>
      </c>
      <c r="E2" s="289">
        <f>IF(D2&gt;0,IF($B$4="Yes",$B$3,0),0)</f>
        <v>0</v>
      </c>
      <c r="F2" s="289">
        <f>IF(E2&gt;0,$B$3+1,0)</f>
        <v>0</v>
      </c>
      <c r="G2" s="289">
        <f>IF(E2&gt;0,1,0)</f>
        <v>0</v>
      </c>
      <c r="H2">
        <v>0</v>
      </c>
      <c r="I2">
        <v>1</v>
      </c>
      <c r="J2" s="388">
        <v>0</v>
      </c>
      <c r="K2" s="388" t="s">
        <v>2</v>
      </c>
      <c r="L2" s="388" t="str">
        <f>Traduction!A27</f>
        <v>No</v>
      </c>
      <c r="M2" s="388" t="s">
        <v>39</v>
      </c>
      <c r="N2" s="389" t="s">
        <v>26</v>
      </c>
      <c r="O2" s="389" t="s">
        <v>26</v>
      </c>
      <c r="P2" s="388">
        <v>0</v>
      </c>
      <c r="Q2" s="388"/>
      <c r="R2" s="388" t="s">
        <v>149</v>
      </c>
      <c r="S2" s="388">
        <f>IF($S$5="yes",0,0)</f>
        <v>0</v>
      </c>
      <c r="T2" s="388">
        <v>2400</v>
      </c>
      <c r="U2" s="388">
        <v>0</v>
      </c>
      <c r="V2" s="388"/>
      <c r="W2" s="388">
        <v>1</v>
      </c>
      <c r="X2" s="387" t="s">
        <v>1414</v>
      </c>
      <c r="Y2" s="387" t="str">
        <f>Traduction!A387</f>
        <v>FRANCE CONTINENTALE</v>
      </c>
      <c r="AA2" t="s">
        <v>1516</v>
      </c>
      <c r="AB2" t="s">
        <v>1518</v>
      </c>
    </row>
    <row r="3" spans="1:28" ht="19.5" thickBot="1">
      <c r="A3" s="286" t="s">
        <v>656</v>
      </c>
      <c r="B3" s="290">
        <f>'Définition PERGOSOLAR'!G6</f>
        <v>1</v>
      </c>
      <c r="C3" s="392" t="s">
        <v>746</v>
      </c>
      <c r="D3" s="289">
        <f>IF($C$14=C3,2,0)</f>
        <v>0</v>
      </c>
      <c r="E3" s="289">
        <f t="shared" ref="E3:E13" si="0">IF(D3&gt;0,IF($B$4="Yes",$B$3,0),0)</f>
        <v>0</v>
      </c>
      <c r="F3" s="289">
        <f>IF(E3&gt;0,($B$3*4)-($B$3-1)*2,0)</f>
        <v>0</v>
      </c>
      <c r="G3" s="289">
        <v>0</v>
      </c>
      <c r="H3">
        <f>IF($H$29&gt;0,1,0)</f>
        <v>1</v>
      </c>
      <c r="I3">
        <f>I2+1</f>
        <v>2</v>
      </c>
      <c r="J3" s="388">
        <v>2</v>
      </c>
      <c r="K3" s="388" t="s">
        <v>38</v>
      </c>
      <c r="L3" s="388" t="str">
        <f>Traduction!A28</f>
        <v>Yes</v>
      </c>
      <c r="M3" s="388"/>
      <c r="N3" s="388">
        <v>7016</v>
      </c>
      <c r="O3" s="388">
        <v>1015</v>
      </c>
      <c r="P3" s="388">
        <v>1</v>
      </c>
      <c r="Q3" s="388"/>
      <c r="R3" s="388" t="s">
        <v>150</v>
      </c>
      <c r="S3" s="388">
        <f>IF($S$5="yes",1,0)</f>
        <v>0</v>
      </c>
      <c r="T3" s="388">
        <v>3500</v>
      </c>
      <c r="U3" s="388">
        <v>1</v>
      </c>
      <c r="V3" s="388"/>
      <c r="W3" s="388">
        <v>2</v>
      </c>
      <c r="X3" s="387" t="s">
        <v>1415</v>
      </c>
      <c r="Y3" s="387" t="str">
        <f>Traduction!A386</f>
        <v>BELGIQUE / LUXEMBOURG</v>
      </c>
      <c r="AA3" t="s">
        <v>1517</v>
      </c>
      <c r="AB3" t="s">
        <v>1519</v>
      </c>
    </row>
    <row r="4" spans="1:28" ht="19.5" thickBot="1">
      <c r="A4" s="286" t="s">
        <v>152</v>
      </c>
      <c r="B4" s="291" t="str">
        <f>'Définition PERGOSOLAR'!G22</f>
        <v>No</v>
      </c>
      <c r="C4" s="392" t="s">
        <v>748</v>
      </c>
      <c r="D4" s="289">
        <f>IF($C$14=C4,1,0)</f>
        <v>0</v>
      </c>
      <c r="E4" s="289">
        <f t="shared" si="0"/>
        <v>0</v>
      </c>
      <c r="F4" s="289">
        <f>IF(E4&gt;0,$B$3+1,0)</f>
        <v>0</v>
      </c>
      <c r="G4" s="289">
        <f>IF(E4&gt;0,1,0)</f>
        <v>0</v>
      </c>
      <c r="H4">
        <f>IF($H$29&gt;1,2,0)</f>
        <v>2</v>
      </c>
      <c r="I4">
        <f t="shared" ref="I4:I5" si="1">I3+1</f>
        <v>3</v>
      </c>
      <c r="J4" s="388">
        <v>4</v>
      </c>
      <c r="K4" s="388"/>
      <c r="L4" s="388"/>
      <c r="M4" s="388"/>
      <c r="N4" s="388">
        <v>9010</v>
      </c>
      <c r="O4" s="388">
        <v>8007</v>
      </c>
      <c r="P4" s="388">
        <v>2</v>
      </c>
      <c r="Q4" s="388"/>
      <c r="R4" s="388" t="s">
        <v>151</v>
      </c>
      <c r="S4" s="388">
        <f>IF($S$5="yes",2,0)</f>
        <v>0</v>
      </c>
      <c r="T4" s="388"/>
      <c r="U4" s="388">
        <v>2</v>
      </c>
      <c r="V4" s="388"/>
      <c r="W4" s="388">
        <v>3</v>
      </c>
      <c r="X4" s="387"/>
      <c r="Y4" s="387"/>
    </row>
    <row r="5" spans="1:28" ht="18.75">
      <c r="B5" s="248"/>
      <c r="C5" s="392" t="s">
        <v>747</v>
      </c>
      <c r="D5" s="289">
        <f>IF($C$14=C5,2,0)</f>
        <v>0</v>
      </c>
      <c r="E5" s="289">
        <f t="shared" si="0"/>
        <v>0</v>
      </c>
      <c r="F5" s="289">
        <f>IF(E5&gt;0,($B$3*4)-($B$3-1)*2,0)</f>
        <v>0</v>
      </c>
      <c r="G5" s="289">
        <v>0</v>
      </c>
      <c r="H5">
        <f>IF($H$29&gt;2,3,0)</f>
        <v>3</v>
      </c>
      <c r="I5">
        <f t="shared" si="1"/>
        <v>4</v>
      </c>
      <c r="J5" s="388"/>
      <c r="K5" s="388"/>
      <c r="L5" s="388"/>
      <c r="M5" s="388"/>
      <c r="N5" s="388"/>
      <c r="O5" s="388">
        <v>6001</v>
      </c>
      <c r="P5" s="388">
        <v>3</v>
      </c>
      <c r="Q5" s="388"/>
      <c r="R5" s="388"/>
      <c r="S5" s="388" t="str">
        <f>'Définition PERGOSOLAR'!G26</f>
        <v>No</v>
      </c>
      <c r="T5" s="388"/>
      <c r="U5" s="388">
        <v>3</v>
      </c>
      <c r="V5" s="388"/>
      <c r="W5" s="388">
        <v>4</v>
      </c>
      <c r="X5" s="387"/>
      <c r="Y5" s="387"/>
    </row>
    <row r="6" spans="1:28" s="408" customFormat="1" ht="18.75">
      <c r="B6" s="248"/>
      <c r="C6" s="392" t="s">
        <v>1005</v>
      </c>
      <c r="D6" s="289">
        <f>IF($C$14=C6,1,0)</f>
        <v>0</v>
      </c>
      <c r="E6" s="289">
        <f t="shared" si="0"/>
        <v>0</v>
      </c>
      <c r="F6" s="289">
        <f>IF(E6&gt;0,$B$3+1,0)</f>
        <v>0</v>
      </c>
      <c r="G6" s="289">
        <f>IF(E6&gt;0,1,0)</f>
        <v>0</v>
      </c>
      <c r="H6">
        <f>IF($H$29&gt;3,4,0)</f>
        <v>0</v>
      </c>
      <c r="J6" s="388"/>
      <c r="K6" s="388"/>
      <c r="L6" s="388"/>
      <c r="M6" s="388"/>
      <c r="N6" s="388"/>
      <c r="O6" s="388">
        <v>5005</v>
      </c>
      <c r="P6" s="388">
        <v>4</v>
      </c>
      <c r="Q6" s="388"/>
      <c r="R6" s="388"/>
      <c r="S6" s="388"/>
      <c r="T6" s="388"/>
      <c r="U6" s="388">
        <v>4</v>
      </c>
      <c r="V6" s="388"/>
      <c r="W6" s="388"/>
      <c r="X6" s="387"/>
      <c r="Y6" s="387"/>
    </row>
    <row r="7" spans="1:28" s="408" customFormat="1" ht="18.75">
      <c r="B7" s="248"/>
      <c r="C7" s="392" t="s">
        <v>1006</v>
      </c>
      <c r="D7" s="289">
        <f t="shared" ref="D7" si="2">IF($C$14=C7,2,0)</f>
        <v>0</v>
      </c>
      <c r="E7" s="289">
        <f t="shared" si="0"/>
        <v>0</v>
      </c>
      <c r="F7" s="289">
        <f t="shared" ref="F7" si="3">IF(E7&gt;0,($B$3*4)-($B$3-1)*2,0)</f>
        <v>0</v>
      </c>
      <c r="G7" s="289">
        <v>0</v>
      </c>
      <c r="J7" s="388"/>
      <c r="K7" s="388"/>
      <c r="L7" s="388"/>
      <c r="M7" s="388"/>
      <c r="N7" s="388"/>
      <c r="O7" s="388">
        <v>3004</v>
      </c>
      <c r="P7" s="388">
        <v>5</v>
      </c>
      <c r="Q7" s="388"/>
      <c r="R7" s="388"/>
      <c r="S7" s="388"/>
      <c r="T7" s="388"/>
      <c r="U7" s="388"/>
      <c r="V7" s="388"/>
      <c r="W7" s="388"/>
      <c r="X7" s="387"/>
      <c r="Y7" s="387"/>
    </row>
    <row r="8" spans="1:28" ht="18.75">
      <c r="B8" s="247"/>
      <c r="C8" s="392" t="s">
        <v>749</v>
      </c>
      <c r="D8" s="289">
        <f>IF($C$14=C8,1,0)</f>
        <v>0</v>
      </c>
      <c r="E8" s="289">
        <f t="shared" si="0"/>
        <v>0</v>
      </c>
      <c r="F8" s="289">
        <f t="shared" ref="F8:F12" si="4">IF(E8&gt;0,$B$3+1,0)</f>
        <v>0</v>
      </c>
      <c r="G8" s="289">
        <f>IF(E8&gt;0,1,0)</f>
        <v>0</v>
      </c>
      <c r="J8" s="388"/>
      <c r="K8" s="388"/>
      <c r="L8" s="388"/>
      <c r="M8" s="388"/>
      <c r="N8" s="388"/>
      <c r="O8" s="388"/>
      <c r="P8" s="388">
        <v>6</v>
      </c>
      <c r="Q8" s="388"/>
      <c r="R8" s="388"/>
      <c r="S8" s="388"/>
      <c r="T8" s="388"/>
      <c r="V8" s="388"/>
      <c r="W8" s="388"/>
      <c r="X8" s="387"/>
      <c r="Y8" s="387"/>
    </row>
    <row r="9" spans="1:28" ht="18.75">
      <c r="B9" s="247"/>
      <c r="C9" s="392" t="s">
        <v>750</v>
      </c>
      <c r="D9" s="289">
        <f>IF($C$14=C9,2,0)</f>
        <v>2</v>
      </c>
      <c r="E9" s="289">
        <f t="shared" si="0"/>
        <v>0</v>
      </c>
      <c r="F9" s="289">
        <f>IF(E9&gt;0,($B$3*4)-($B$3-1)*2,0)</f>
        <v>0</v>
      </c>
      <c r="G9" s="289">
        <v>0</v>
      </c>
      <c r="J9" s="388"/>
      <c r="K9" s="388"/>
      <c r="L9" s="388"/>
      <c r="M9" s="388"/>
      <c r="N9" s="388"/>
      <c r="Q9" s="388"/>
      <c r="R9" s="388"/>
      <c r="S9" s="388"/>
      <c r="T9" s="390" t="s">
        <v>687</v>
      </c>
      <c r="U9" s="391">
        <f>P53</f>
        <v>3</v>
      </c>
      <c r="V9" s="388"/>
      <c r="W9" s="388"/>
      <c r="X9" s="387"/>
      <c r="Y9" s="387"/>
    </row>
    <row r="10" spans="1:28" ht="18.75">
      <c r="B10" s="247"/>
      <c r="C10" s="392" t="s">
        <v>752</v>
      </c>
      <c r="D10" s="289">
        <f>IF($C$14=C10,1,0)</f>
        <v>0</v>
      </c>
      <c r="E10" s="289">
        <f t="shared" si="0"/>
        <v>0</v>
      </c>
      <c r="F10" s="289">
        <f t="shared" si="4"/>
        <v>0</v>
      </c>
      <c r="G10" s="289">
        <f>IF(E10&gt;0,1,0)</f>
        <v>0</v>
      </c>
      <c r="J10" s="388"/>
      <c r="K10" s="388"/>
      <c r="L10" s="388"/>
      <c r="M10" s="388"/>
      <c r="N10" s="388"/>
      <c r="Q10" s="388"/>
      <c r="R10" s="388"/>
      <c r="S10" s="388"/>
      <c r="T10" s="388"/>
      <c r="U10" s="388"/>
      <c r="V10" s="388"/>
      <c r="W10" s="388"/>
      <c r="X10" s="387"/>
      <c r="Y10" s="387"/>
    </row>
    <row r="11" spans="1:28" ht="18.75">
      <c r="B11" s="247"/>
      <c r="C11" s="392" t="s">
        <v>751</v>
      </c>
      <c r="D11" s="289">
        <f>IF($C$14=C11,2,0)</f>
        <v>0</v>
      </c>
      <c r="E11" s="289">
        <f t="shared" si="0"/>
        <v>0</v>
      </c>
      <c r="F11" s="289">
        <f>IF(E11&gt;0,($B$3*4)-($B$3-1)*2,0)</f>
        <v>0</v>
      </c>
      <c r="G11" s="289">
        <v>0</v>
      </c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7"/>
      <c r="Y11" s="387"/>
    </row>
    <row r="12" spans="1:28" ht="18.75">
      <c r="B12" s="247"/>
      <c r="C12" s="392" t="s">
        <v>753</v>
      </c>
      <c r="D12" s="289">
        <f>IF($C$14=C12,1,0)</f>
        <v>0</v>
      </c>
      <c r="E12" s="289">
        <f t="shared" si="0"/>
        <v>0</v>
      </c>
      <c r="F12" s="289">
        <f t="shared" si="4"/>
        <v>0</v>
      </c>
      <c r="G12" s="289">
        <f>IF(E12&gt;0,1,0)</f>
        <v>0</v>
      </c>
      <c r="I12" s="247"/>
      <c r="J12" s="388"/>
      <c r="K12" s="388"/>
      <c r="L12" s="388"/>
      <c r="M12" s="388"/>
      <c r="N12" s="388"/>
      <c r="O12" s="388"/>
      <c r="P12" s="388"/>
      <c r="Q12" s="388"/>
      <c r="R12" s="388"/>
      <c r="S12" s="387"/>
      <c r="T12" s="387"/>
      <c r="U12" s="387"/>
      <c r="V12" s="387"/>
      <c r="W12" s="387"/>
      <c r="X12" s="387"/>
      <c r="Y12" s="387"/>
    </row>
    <row r="13" spans="1:28" ht="19.5" thickBot="1">
      <c r="B13" s="247"/>
      <c r="C13" s="393" t="s">
        <v>754</v>
      </c>
      <c r="D13" s="293">
        <f>IF($C$14=C13,2,0)</f>
        <v>0</v>
      </c>
      <c r="E13" s="293">
        <f t="shared" si="0"/>
        <v>0</v>
      </c>
      <c r="F13" s="293">
        <f>IF(E13&gt;0,($B$3*4)-($B$3-1)*2,0)</f>
        <v>0</v>
      </c>
      <c r="G13" s="289">
        <v>0</v>
      </c>
      <c r="H13" s="247"/>
      <c r="I13" s="247"/>
      <c r="J13" s="388"/>
      <c r="K13" s="388"/>
      <c r="L13" s="388"/>
      <c r="M13" s="388"/>
      <c r="N13" s="388"/>
      <c r="O13" s="388"/>
      <c r="P13" s="388"/>
      <c r="Q13" s="388"/>
      <c r="R13" s="388"/>
      <c r="S13" s="387"/>
      <c r="T13" s="387"/>
      <c r="U13" s="387"/>
      <c r="V13" s="387"/>
      <c r="W13" s="387"/>
      <c r="X13" s="387"/>
      <c r="Y13" s="387"/>
    </row>
    <row r="14" spans="1:28" ht="19.5" thickBot="1">
      <c r="B14" s="285" t="s">
        <v>480</v>
      </c>
      <c r="C14" s="288" t="str">
        <f>'Définition PERGOSOLAR'!G15</f>
        <v>3x3 4 Pieds</v>
      </c>
      <c r="D14" s="288">
        <f>IF('Définition PERGOSOLAR'!G22="No",SUM(D2:D13),'Définition PERGOSOLAR'!G23)</f>
        <v>2</v>
      </c>
      <c r="E14" s="288"/>
      <c r="F14" s="288">
        <f>SUM(F2:F13)</f>
        <v>0</v>
      </c>
      <c r="G14" s="288">
        <f>IF('Définition PERGOSOLAR'!G22="No",IF(Info!S29=1,1,0),SUM(G2:G13))</f>
        <v>0</v>
      </c>
      <c r="H14" s="247"/>
      <c r="I14" s="247"/>
      <c r="J14" s="247"/>
      <c r="K14" s="247"/>
      <c r="L14" s="247"/>
      <c r="M14" s="247"/>
      <c r="N14" s="247"/>
      <c r="O14" s="831" t="s">
        <v>1533</v>
      </c>
      <c r="P14" s="831"/>
      <c r="Q14" s="831"/>
      <c r="R14" s="831"/>
      <c r="U14" s="831" t="s">
        <v>1534</v>
      </c>
      <c r="V14" s="831"/>
      <c r="W14" s="831"/>
      <c r="X14" s="831"/>
    </row>
    <row r="15" spans="1:28" ht="25.5" customHeight="1">
      <c r="B15" s="287"/>
      <c r="C15" s="287"/>
      <c r="D15" s="271" t="s">
        <v>474</v>
      </c>
      <c r="E15" s="287" t="s">
        <v>477</v>
      </c>
      <c r="F15" s="271" t="s">
        <v>475</v>
      </c>
      <c r="G15" s="20" t="s">
        <v>478</v>
      </c>
      <c r="H15" s="100" t="s">
        <v>475</v>
      </c>
      <c r="I15" s="100" t="s">
        <v>476</v>
      </c>
      <c r="K15" s="100" t="s">
        <v>479</v>
      </c>
      <c r="L15" s="20" t="s">
        <v>490</v>
      </c>
      <c r="M15" s="100" t="s">
        <v>491</v>
      </c>
      <c r="N15" s="100" t="s">
        <v>497</v>
      </c>
      <c r="O15" s="100" t="s">
        <v>635</v>
      </c>
      <c r="P15" s="100" t="s">
        <v>636</v>
      </c>
      <c r="Q15" s="100" t="s">
        <v>637</v>
      </c>
      <c r="R15" s="100" t="s">
        <v>638</v>
      </c>
      <c r="S15" s="100" t="s">
        <v>661</v>
      </c>
      <c r="T15" s="100" t="s">
        <v>662</v>
      </c>
      <c r="U15" s="648" t="s">
        <v>635</v>
      </c>
      <c r="V15" s="648" t="s">
        <v>636</v>
      </c>
      <c r="W15" s="648" t="s">
        <v>637</v>
      </c>
      <c r="X15" s="648" t="s">
        <v>638</v>
      </c>
    </row>
    <row r="16" spans="1:28" ht="30.75" customHeight="1">
      <c r="B16" s="105" t="s">
        <v>473</v>
      </c>
      <c r="C16" s="100"/>
      <c r="D16" s="100" t="str">
        <f>'Définition PERGOSOLAR'!G15</f>
        <v>3x3 4 Pieds</v>
      </c>
      <c r="E16" s="100">
        <f t="shared" ref="E16:E28" si="5">F16+H16</f>
        <v>0</v>
      </c>
      <c r="F16" s="100"/>
      <c r="G16" s="100" t="str">
        <f>'Définition PERGOSOLAR'!G26</f>
        <v>No</v>
      </c>
      <c r="H16" s="100">
        <f>IF(G16="yes",'Définition PERGOSOLAR'!G27,0)</f>
        <v>0</v>
      </c>
      <c r="I16" s="100">
        <f>IF('Définition PERGOSOLAR'!G26="Yes",'Définition PERGOSOLAR'!G27,0)</f>
        <v>0</v>
      </c>
      <c r="K16" s="20"/>
      <c r="L16" s="100"/>
      <c r="M16" s="20"/>
      <c r="N16" s="20"/>
      <c r="O16" s="20"/>
      <c r="P16" s="20"/>
      <c r="Q16" s="20"/>
      <c r="R16" s="20"/>
      <c r="S16" s="20"/>
      <c r="T16" s="20"/>
      <c r="U16" s="409"/>
      <c r="V16" s="409"/>
      <c r="W16" s="409"/>
      <c r="X16" s="409"/>
    </row>
    <row r="17" spans="2:24">
      <c r="B17" s="100" t="s">
        <v>745</v>
      </c>
      <c r="C17" s="100">
        <v>2</v>
      </c>
      <c r="D17" s="100">
        <f>IF($D$16=B17,C17,0)</f>
        <v>0</v>
      </c>
      <c r="E17" s="100">
        <f t="shared" si="5"/>
        <v>2</v>
      </c>
      <c r="F17" s="100">
        <f>C17-H17</f>
        <v>2</v>
      </c>
      <c r="G17" s="100" t="str">
        <f>G16</f>
        <v>No</v>
      </c>
      <c r="H17" s="100">
        <f>IF(D17&gt;0,2,0)</f>
        <v>0</v>
      </c>
      <c r="I17" s="100">
        <f>'Définition PERGOSOLAR'!$G$27</f>
        <v>1</v>
      </c>
      <c r="J17" s="120">
        <f>IF(H17&gt;0,IF(G17="No",C17,C17-I17),0)</f>
        <v>0</v>
      </c>
      <c r="K17" s="100">
        <f t="shared" ref="K17:K28" si="6">IF(D17&gt;0,IF(E17=D17,"Ok","Error"),0)</f>
        <v>0</v>
      </c>
      <c r="L17" s="100">
        <v>2</v>
      </c>
      <c r="M17" s="20">
        <f>L17*J17</f>
        <v>0</v>
      </c>
      <c r="N17" s="20">
        <f t="shared" ref="N17:N28" si="7">IF(K17&gt;0,F17,0)</f>
        <v>0</v>
      </c>
      <c r="O17" s="250">
        <f>O18+150</f>
        <v>2693</v>
      </c>
      <c r="P17" s="250">
        <v>3374</v>
      </c>
      <c r="Q17" s="250">
        <f t="shared" ref="Q17:Q28" si="8">IF($D$16=B17,O17,0)</f>
        <v>0</v>
      </c>
      <c r="R17" s="250">
        <f t="shared" ref="R17:R28" si="9">IF($D$16=B17,P17,0)</f>
        <v>0</v>
      </c>
      <c r="S17" s="250">
        <f>IF(D17&gt;0,1,0)</f>
        <v>0</v>
      </c>
      <c r="T17" s="250"/>
      <c r="U17" s="250">
        <v>2829</v>
      </c>
      <c r="V17" s="250">
        <v>3574</v>
      </c>
      <c r="W17" s="250">
        <f>IF($D$16=B17,U17,0)</f>
        <v>0</v>
      </c>
      <c r="X17" s="250">
        <f>IF($D$16=B17,V17,0)</f>
        <v>0</v>
      </c>
    </row>
    <row r="18" spans="2:24">
      <c r="B18" s="100" t="s">
        <v>746</v>
      </c>
      <c r="C18" s="100">
        <v>2</v>
      </c>
      <c r="D18" s="100">
        <f t="shared" ref="D18:D28" si="10">IF($D$16=B18,C18,0)</f>
        <v>0</v>
      </c>
      <c r="E18" s="100">
        <f t="shared" si="5"/>
        <v>2</v>
      </c>
      <c r="F18" s="100">
        <f t="shared" ref="F18:F28" si="11">C18-H18</f>
        <v>2</v>
      </c>
      <c r="G18" s="100" t="str">
        <f t="shared" ref="G18:G28" si="12">G17</f>
        <v>No</v>
      </c>
      <c r="H18" s="100">
        <f t="shared" ref="H18:H20" si="13">IF(D18&gt;0,2,0)</f>
        <v>0</v>
      </c>
      <c r="I18" s="100">
        <f>'Définition PERGOSOLAR'!$G$27</f>
        <v>1</v>
      </c>
      <c r="J18" s="120">
        <f t="shared" ref="J18:J28" si="14">IF(H18&gt;0,IF(G18="No",C18,C18-I18),0)</f>
        <v>0</v>
      </c>
      <c r="K18" s="100">
        <f t="shared" si="6"/>
        <v>0</v>
      </c>
      <c r="L18" s="100">
        <v>2</v>
      </c>
      <c r="M18" s="20">
        <f t="shared" ref="M18:M28" si="15">L18*J18</f>
        <v>0</v>
      </c>
      <c r="N18" s="20">
        <f t="shared" si="7"/>
        <v>0</v>
      </c>
      <c r="O18" s="250">
        <v>2543</v>
      </c>
      <c r="P18" s="250">
        <v>3374</v>
      </c>
      <c r="Q18" s="250">
        <f t="shared" si="8"/>
        <v>0</v>
      </c>
      <c r="R18" s="250">
        <f t="shared" si="9"/>
        <v>0</v>
      </c>
      <c r="S18" s="250"/>
      <c r="T18" s="250">
        <f>IF(D18&gt;0,1,0)</f>
        <v>0</v>
      </c>
      <c r="U18" s="250">
        <v>2679</v>
      </c>
      <c r="V18" s="250">
        <v>3574</v>
      </c>
      <c r="W18" s="250">
        <f t="shared" ref="W18:W28" si="16">IF($D$16=B18,U18,0)</f>
        <v>0</v>
      </c>
      <c r="X18" s="250">
        <f t="shared" ref="X18:X28" si="17">IF($D$16=B18,V18,0)</f>
        <v>0</v>
      </c>
    </row>
    <row r="19" spans="2:24">
      <c r="B19" s="100" t="s">
        <v>748</v>
      </c>
      <c r="C19" s="100">
        <v>2</v>
      </c>
      <c r="D19" s="100">
        <f t="shared" si="10"/>
        <v>0</v>
      </c>
      <c r="E19" s="100">
        <f t="shared" si="5"/>
        <v>2</v>
      </c>
      <c r="F19" s="100">
        <f t="shared" si="11"/>
        <v>2</v>
      </c>
      <c r="G19" s="100" t="str">
        <f t="shared" si="12"/>
        <v>No</v>
      </c>
      <c r="H19" s="100">
        <f t="shared" si="13"/>
        <v>0</v>
      </c>
      <c r="I19" s="100">
        <f>'Définition PERGOSOLAR'!$G$27</f>
        <v>1</v>
      </c>
      <c r="J19" s="120">
        <f t="shared" si="14"/>
        <v>0</v>
      </c>
      <c r="K19" s="100">
        <f t="shared" si="6"/>
        <v>0</v>
      </c>
      <c r="L19" s="100">
        <v>3</v>
      </c>
      <c r="M19" s="20">
        <f t="shared" si="15"/>
        <v>0</v>
      </c>
      <c r="N19" s="20">
        <f t="shared" si="7"/>
        <v>0</v>
      </c>
      <c r="O19" s="250">
        <f>O20+150</f>
        <v>2693</v>
      </c>
      <c r="P19" s="250">
        <v>5074</v>
      </c>
      <c r="Q19" s="250">
        <f t="shared" si="8"/>
        <v>0</v>
      </c>
      <c r="R19" s="250">
        <f t="shared" si="9"/>
        <v>0</v>
      </c>
      <c r="S19" s="250">
        <f>IF(D19&gt;0,1,0)</f>
        <v>0</v>
      </c>
      <c r="T19" s="250"/>
      <c r="U19" s="250">
        <v>2829</v>
      </c>
      <c r="V19" s="250">
        <v>5374</v>
      </c>
      <c r="W19" s="250">
        <f t="shared" si="16"/>
        <v>0</v>
      </c>
      <c r="X19" s="250">
        <f t="shared" si="17"/>
        <v>0</v>
      </c>
    </row>
    <row r="20" spans="2:24">
      <c r="B20" s="100" t="s">
        <v>747</v>
      </c>
      <c r="C20" s="100">
        <v>2</v>
      </c>
      <c r="D20" s="100">
        <f t="shared" si="10"/>
        <v>0</v>
      </c>
      <c r="E20" s="100">
        <f t="shared" si="5"/>
        <v>2</v>
      </c>
      <c r="F20" s="100">
        <f t="shared" si="11"/>
        <v>2</v>
      </c>
      <c r="G20" s="100" t="str">
        <f t="shared" si="12"/>
        <v>No</v>
      </c>
      <c r="H20" s="100">
        <f t="shared" si="13"/>
        <v>0</v>
      </c>
      <c r="I20" s="100">
        <f>'Définition PERGOSOLAR'!$G$27</f>
        <v>1</v>
      </c>
      <c r="J20" s="120">
        <f t="shared" si="14"/>
        <v>0</v>
      </c>
      <c r="K20" s="100">
        <f t="shared" si="6"/>
        <v>0</v>
      </c>
      <c r="L20" s="100">
        <v>3</v>
      </c>
      <c r="M20" s="20">
        <f t="shared" si="15"/>
        <v>0</v>
      </c>
      <c r="N20" s="20">
        <f t="shared" si="7"/>
        <v>0</v>
      </c>
      <c r="O20" s="250">
        <v>2543</v>
      </c>
      <c r="P20" s="250">
        <v>5074</v>
      </c>
      <c r="Q20" s="250">
        <f t="shared" si="8"/>
        <v>0</v>
      </c>
      <c r="R20" s="250">
        <f t="shared" si="9"/>
        <v>0</v>
      </c>
      <c r="S20" s="250"/>
      <c r="T20" s="250">
        <f>IF(D20&gt;0,1,0)</f>
        <v>0</v>
      </c>
      <c r="U20" s="250">
        <v>2679</v>
      </c>
      <c r="V20" s="250">
        <v>5374</v>
      </c>
      <c r="W20" s="250">
        <f t="shared" si="16"/>
        <v>0</v>
      </c>
      <c r="X20" s="250">
        <f t="shared" si="17"/>
        <v>0</v>
      </c>
    </row>
    <row r="21" spans="2:24" s="408" customFormat="1">
      <c r="B21" s="455" t="s">
        <v>1005</v>
      </c>
      <c r="C21" s="455">
        <v>3</v>
      </c>
      <c r="D21" s="455">
        <f t="shared" si="10"/>
        <v>0</v>
      </c>
      <c r="E21" s="455">
        <f t="shared" si="5"/>
        <v>3</v>
      </c>
      <c r="F21" s="455">
        <f t="shared" si="11"/>
        <v>3</v>
      </c>
      <c r="G21" s="455" t="str">
        <f t="shared" si="12"/>
        <v>No</v>
      </c>
      <c r="H21" s="455">
        <f>IF(D21&gt;0,3,0)</f>
        <v>0</v>
      </c>
      <c r="I21" s="455">
        <f>'Définition PERGOSOLAR'!$G$27</f>
        <v>1</v>
      </c>
      <c r="J21" s="453">
        <f t="shared" si="14"/>
        <v>0</v>
      </c>
      <c r="K21" s="455">
        <f t="shared" si="6"/>
        <v>0</v>
      </c>
      <c r="L21" s="455">
        <v>2</v>
      </c>
      <c r="M21" s="409">
        <f t="shared" si="15"/>
        <v>0</v>
      </c>
      <c r="N21" s="409">
        <f t="shared" si="7"/>
        <v>0</v>
      </c>
      <c r="O21" s="250">
        <f>O22+150</f>
        <v>3943</v>
      </c>
      <c r="P21" s="250">
        <v>3374</v>
      </c>
      <c r="Q21" s="250">
        <f t="shared" ref="Q21:Q22" si="18">IF($D$16=B21,O21,0)</f>
        <v>0</v>
      </c>
      <c r="R21" s="250">
        <f t="shared" ref="R21:R22" si="19">IF($D$16=B21,P21,0)</f>
        <v>0</v>
      </c>
      <c r="S21" s="250">
        <f t="shared" ref="S21" si="20">IF(D21&gt;0,1,0)</f>
        <v>0</v>
      </c>
      <c r="T21" s="250"/>
      <c r="U21" s="250">
        <v>4147</v>
      </c>
      <c r="V21" s="250">
        <v>3574</v>
      </c>
      <c r="W21" s="250">
        <f t="shared" si="16"/>
        <v>0</v>
      </c>
      <c r="X21" s="250">
        <f t="shared" si="17"/>
        <v>0</v>
      </c>
    </row>
    <row r="22" spans="2:24" s="408" customFormat="1">
      <c r="B22" s="455" t="s">
        <v>1006</v>
      </c>
      <c r="C22" s="455">
        <v>3</v>
      </c>
      <c r="D22" s="455">
        <f t="shared" si="10"/>
        <v>0</v>
      </c>
      <c r="E22" s="455">
        <f t="shared" si="5"/>
        <v>3</v>
      </c>
      <c r="F22" s="455">
        <f t="shared" si="11"/>
        <v>3</v>
      </c>
      <c r="G22" s="455" t="str">
        <f t="shared" si="12"/>
        <v>No</v>
      </c>
      <c r="H22" s="455">
        <f>IF(D22&gt;0,3,0)</f>
        <v>0</v>
      </c>
      <c r="I22" s="455">
        <f>'Définition PERGOSOLAR'!$G$27</f>
        <v>1</v>
      </c>
      <c r="J22" s="453">
        <f t="shared" si="14"/>
        <v>0</v>
      </c>
      <c r="K22" s="455">
        <f t="shared" si="6"/>
        <v>0</v>
      </c>
      <c r="L22" s="455">
        <v>2</v>
      </c>
      <c r="M22" s="409">
        <f t="shared" si="15"/>
        <v>0</v>
      </c>
      <c r="N22" s="409">
        <f t="shared" si="7"/>
        <v>0</v>
      </c>
      <c r="O22" s="250">
        <v>3793</v>
      </c>
      <c r="P22" s="250">
        <v>3374</v>
      </c>
      <c r="Q22" s="250">
        <f t="shared" si="18"/>
        <v>0</v>
      </c>
      <c r="R22" s="250">
        <f t="shared" si="19"/>
        <v>0</v>
      </c>
      <c r="S22" s="250"/>
      <c r="T22" s="250">
        <f t="shared" ref="T22" si="21">IF(D22&gt;0,1,0)</f>
        <v>0</v>
      </c>
      <c r="U22" s="250">
        <v>3997</v>
      </c>
      <c r="V22" s="250">
        <v>3574</v>
      </c>
      <c r="W22" s="250">
        <f t="shared" si="16"/>
        <v>0</v>
      </c>
      <c r="X22" s="250">
        <f t="shared" si="17"/>
        <v>0</v>
      </c>
    </row>
    <row r="23" spans="2:24">
      <c r="B23" s="100" t="s">
        <v>749</v>
      </c>
      <c r="C23" s="100">
        <v>3</v>
      </c>
      <c r="D23" s="100">
        <f t="shared" si="10"/>
        <v>0</v>
      </c>
      <c r="E23" s="100">
        <f t="shared" si="5"/>
        <v>3</v>
      </c>
      <c r="F23" s="100">
        <f t="shared" si="11"/>
        <v>3</v>
      </c>
      <c r="G23" s="100" t="str">
        <f>G20</f>
        <v>No</v>
      </c>
      <c r="H23" s="100">
        <f>IF(D23&gt;0,3,0)</f>
        <v>0</v>
      </c>
      <c r="I23" s="100">
        <f>'Définition PERGOSOLAR'!$G$27</f>
        <v>1</v>
      </c>
      <c r="J23" s="120">
        <f t="shared" si="14"/>
        <v>0</v>
      </c>
      <c r="K23" s="100">
        <f t="shared" si="6"/>
        <v>0</v>
      </c>
      <c r="L23" s="100">
        <v>3</v>
      </c>
      <c r="M23" s="20">
        <f t="shared" si="15"/>
        <v>0</v>
      </c>
      <c r="N23" s="20">
        <f t="shared" si="7"/>
        <v>0</v>
      </c>
      <c r="O23" s="250">
        <f>O24+150</f>
        <v>3943</v>
      </c>
      <c r="P23" s="250">
        <v>5074</v>
      </c>
      <c r="Q23" s="250">
        <f>IF($D$16=B23,O23,0)</f>
        <v>0</v>
      </c>
      <c r="R23" s="250">
        <f t="shared" si="9"/>
        <v>0</v>
      </c>
      <c r="S23" s="250">
        <f>IF(D23&gt;0,1,0)</f>
        <v>0</v>
      </c>
      <c r="T23" s="250"/>
      <c r="U23" s="250">
        <v>4147</v>
      </c>
      <c r="V23" s="250">
        <v>5374</v>
      </c>
      <c r="W23" s="250">
        <f t="shared" si="16"/>
        <v>0</v>
      </c>
      <c r="X23" s="250">
        <f t="shared" si="17"/>
        <v>0</v>
      </c>
    </row>
    <row r="24" spans="2:24">
      <c r="B24" s="100" t="s">
        <v>750</v>
      </c>
      <c r="C24" s="100">
        <v>3</v>
      </c>
      <c r="D24" s="100">
        <f t="shared" si="10"/>
        <v>3</v>
      </c>
      <c r="E24" s="100">
        <f t="shared" si="5"/>
        <v>3</v>
      </c>
      <c r="F24" s="100">
        <f t="shared" si="11"/>
        <v>0</v>
      </c>
      <c r="G24" s="100" t="str">
        <f t="shared" si="12"/>
        <v>No</v>
      </c>
      <c r="H24" s="100">
        <f>IF(D24&gt;0,3,0)</f>
        <v>3</v>
      </c>
      <c r="I24" s="100">
        <f>'Définition PERGOSOLAR'!$G$27</f>
        <v>1</v>
      </c>
      <c r="J24" s="120">
        <f t="shared" si="14"/>
        <v>3</v>
      </c>
      <c r="K24" s="100" t="str">
        <f t="shared" si="6"/>
        <v>Ok</v>
      </c>
      <c r="L24" s="100">
        <v>3</v>
      </c>
      <c r="M24" s="20">
        <f t="shared" si="15"/>
        <v>9</v>
      </c>
      <c r="N24" s="20">
        <f t="shared" si="7"/>
        <v>0</v>
      </c>
      <c r="O24" s="250">
        <v>3793</v>
      </c>
      <c r="P24" s="250">
        <v>5074</v>
      </c>
      <c r="Q24" s="250">
        <f t="shared" si="8"/>
        <v>3793</v>
      </c>
      <c r="R24" s="250">
        <f t="shared" si="9"/>
        <v>5074</v>
      </c>
      <c r="S24" s="250"/>
      <c r="T24" s="250">
        <f>IF(D24&gt;0,1,0)</f>
        <v>1</v>
      </c>
      <c r="U24" s="250">
        <v>3997</v>
      </c>
      <c r="V24" s="250">
        <v>5374</v>
      </c>
      <c r="W24" s="250">
        <f t="shared" si="16"/>
        <v>3997</v>
      </c>
      <c r="X24" s="250">
        <f t="shared" si="17"/>
        <v>5374</v>
      </c>
    </row>
    <row r="25" spans="2:24">
      <c r="B25" s="100" t="s">
        <v>752</v>
      </c>
      <c r="C25" s="100">
        <v>4</v>
      </c>
      <c r="D25" s="100">
        <f t="shared" si="10"/>
        <v>0</v>
      </c>
      <c r="E25" s="100">
        <f t="shared" si="5"/>
        <v>4</v>
      </c>
      <c r="F25" s="100">
        <f t="shared" si="11"/>
        <v>4</v>
      </c>
      <c r="G25" s="100" t="str">
        <f t="shared" si="12"/>
        <v>No</v>
      </c>
      <c r="H25" s="100">
        <f>IF(D25&gt;0,4,0)</f>
        <v>0</v>
      </c>
      <c r="I25" s="100">
        <f>'Définition PERGOSOLAR'!$G$27</f>
        <v>1</v>
      </c>
      <c r="J25" s="120">
        <f t="shared" si="14"/>
        <v>0</v>
      </c>
      <c r="K25" s="100">
        <f t="shared" si="6"/>
        <v>0</v>
      </c>
      <c r="L25" s="100">
        <v>2</v>
      </c>
      <c r="M25" s="20">
        <f t="shared" si="15"/>
        <v>0</v>
      </c>
      <c r="N25" s="20">
        <f t="shared" si="7"/>
        <v>0</v>
      </c>
      <c r="O25" s="250">
        <f>O26+150</f>
        <v>5193</v>
      </c>
      <c r="P25" s="250">
        <v>3374</v>
      </c>
      <c r="Q25" s="250">
        <f t="shared" si="8"/>
        <v>0</v>
      </c>
      <c r="R25" s="250">
        <f t="shared" si="9"/>
        <v>0</v>
      </c>
      <c r="S25" s="250">
        <f>IF(D25&gt;0,1,0)</f>
        <v>0</v>
      </c>
      <c r="T25" s="250"/>
      <c r="U25" s="250">
        <v>5465</v>
      </c>
      <c r="V25" s="250">
        <v>3574</v>
      </c>
      <c r="W25" s="250">
        <f t="shared" si="16"/>
        <v>0</v>
      </c>
      <c r="X25" s="250">
        <f t="shared" si="17"/>
        <v>0</v>
      </c>
    </row>
    <row r="26" spans="2:24">
      <c r="B26" s="100" t="s">
        <v>751</v>
      </c>
      <c r="C26" s="100">
        <v>4</v>
      </c>
      <c r="D26" s="100">
        <f t="shared" si="10"/>
        <v>0</v>
      </c>
      <c r="E26" s="100">
        <f t="shared" si="5"/>
        <v>4</v>
      </c>
      <c r="F26" s="100">
        <f t="shared" si="11"/>
        <v>4</v>
      </c>
      <c r="G26" s="100" t="str">
        <f t="shared" si="12"/>
        <v>No</v>
      </c>
      <c r="H26" s="100">
        <f t="shared" ref="H26:H28" si="22">IF(D26&gt;0,4,0)</f>
        <v>0</v>
      </c>
      <c r="I26" s="100">
        <f>'Définition PERGOSOLAR'!$G$27</f>
        <v>1</v>
      </c>
      <c r="J26" s="120">
        <f t="shared" si="14"/>
        <v>0</v>
      </c>
      <c r="K26" s="100">
        <f t="shared" si="6"/>
        <v>0</v>
      </c>
      <c r="L26" s="100">
        <v>2</v>
      </c>
      <c r="M26" s="20">
        <f t="shared" si="15"/>
        <v>0</v>
      </c>
      <c r="N26" s="20">
        <f t="shared" si="7"/>
        <v>0</v>
      </c>
      <c r="O26" s="250">
        <v>5043</v>
      </c>
      <c r="P26" s="250">
        <v>3374</v>
      </c>
      <c r="Q26" s="250">
        <f t="shared" si="8"/>
        <v>0</v>
      </c>
      <c r="R26" s="250">
        <f t="shared" si="9"/>
        <v>0</v>
      </c>
      <c r="S26" s="250"/>
      <c r="T26" s="250">
        <f>IF(D26&gt;0,1,0)</f>
        <v>0</v>
      </c>
      <c r="U26" s="250">
        <v>5315</v>
      </c>
      <c r="V26" s="250">
        <v>3574</v>
      </c>
      <c r="W26" s="250">
        <f t="shared" si="16"/>
        <v>0</v>
      </c>
      <c r="X26" s="250">
        <f t="shared" si="17"/>
        <v>0</v>
      </c>
    </row>
    <row r="27" spans="2:24">
      <c r="B27" s="100" t="s">
        <v>753</v>
      </c>
      <c r="C27" s="100">
        <v>4</v>
      </c>
      <c r="D27" s="100">
        <f t="shared" si="10"/>
        <v>0</v>
      </c>
      <c r="E27" s="100">
        <f t="shared" si="5"/>
        <v>4</v>
      </c>
      <c r="F27" s="100">
        <f t="shared" si="11"/>
        <v>4</v>
      </c>
      <c r="G27" s="100" t="str">
        <f t="shared" si="12"/>
        <v>No</v>
      </c>
      <c r="H27" s="100">
        <f t="shared" si="22"/>
        <v>0</v>
      </c>
      <c r="I27" s="100">
        <f>'Définition PERGOSOLAR'!$G$27</f>
        <v>1</v>
      </c>
      <c r="J27" s="120">
        <f t="shared" si="14"/>
        <v>0</v>
      </c>
      <c r="K27" s="100">
        <f t="shared" si="6"/>
        <v>0</v>
      </c>
      <c r="L27" s="100">
        <v>3</v>
      </c>
      <c r="M27" s="20">
        <f t="shared" si="15"/>
        <v>0</v>
      </c>
      <c r="N27" s="20">
        <f t="shared" si="7"/>
        <v>0</v>
      </c>
      <c r="O27" s="250">
        <f>O28+150</f>
        <v>5193</v>
      </c>
      <c r="P27" s="250">
        <v>5074</v>
      </c>
      <c r="Q27" s="250">
        <f t="shared" si="8"/>
        <v>0</v>
      </c>
      <c r="R27" s="250">
        <f t="shared" si="9"/>
        <v>0</v>
      </c>
      <c r="S27" s="250">
        <f>IF(D27&gt;0,1,0)</f>
        <v>0</v>
      </c>
      <c r="T27" s="250"/>
      <c r="U27" s="250">
        <v>5465</v>
      </c>
      <c r="V27" s="250">
        <v>5374</v>
      </c>
      <c r="W27" s="250">
        <f t="shared" si="16"/>
        <v>0</v>
      </c>
      <c r="X27" s="250">
        <f t="shared" si="17"/>
        <v>0</v>
      </c>
    </row>
    <row r="28" spans="2:24">
      <c r="B28" s="100" t="s">
        <v>754</v>
      </c>
      <c r="C28" s="100">
        <v>4</v>
      </c>
      <c r="D28" s="100">
        <f t="shared" si="10"/>
        <v>0</v>
      </c>
      <c r="E28" s="100">
        <f t="shared" si="5"/>
        <v>4</v>
      </c>
      <c r="F28" s="100">
        <f t="shared" si="11"/>
        <v>4</v>
      </c>
      <c r="G28" s="100" t="str">
        <f t="shared" si="12"/>
        <v>No</v>
      </c>
      <c r="H28" s="100">
        <f t="shared" si="22"/>
        <v>0</v>
      </c>
      <c r="I28" s="100">
        <f>'Définition PERGOSOLAR'!$G$27</f>
        <v>1</v>
      </c>
      <c r="J28" s="120">
        <f t="shared" si="14"/>
        <v>0</v>
      </c>
      <c r="K28" s="100">
        <f t="shared" si="6"/>
        <v>0</v>
      </c>
      <c r="L28" s="100">
        <v>3</v>
      </c>
      <c r="M28" s="20">
        <f t="shared" si="15"/>
        <v>0</v>
      </c>
      <c r="N28" s="20">
        <f t="shared" si="7"/>
        <v>0</v>
      </c>
      <c r="O28" s="250">
        <v>5043</v>
      </c>
      <c r="P28" s="250">
        <v>5074</v>
      </c>
      <c r="Q28" s="250">
        <f t="shared" si="8"/>
        <v>0</v>
      </c>
      <c r="R28" s="250">
        <f t="shared" si="9"/>
        <v>0</v>
      </c>
      <c r="S28" s="250"/>
      <c r="T28" s="250">
        <f>IF(D28&gt;0,1,0)</f>
        <v>0</v>
      </c>
      <c r="U28" s="250">
        <v>5315</v>
      </c>
      <c r="V28" s="250">
        <v>5374</v>
      </c>
      <c r="W28" s="250">
        <f t="shared" si="16"/>
        <v>0</v>
      </c>
      <c r="X28" s="250">
        <f t="shared" si="17"/>
        <v>0</v>
      </c>
    </row>
    <row r="29" spans="2:24">
      <c r="H29" s="305">
        <f>SUM(H17:H28)</f>
        <v>3</v>
      </c>
      <c r="I29" s="305">
        <f>SUM(I17:I28)</f>
        <v>12</v>
      </c>
      <c r="J29" s="120">
        <f>SUM(J17:J28)</f>
        <v>3</v>
      </c>
      <c r="K29" s="98">
        <f>IF(K17="Ok",0,IF(K18="Ok",0,IF(K19="Ok",0,IF(K20="Ok",0,IF(K21="Ok",0,IF(K22="Ok",0,IF(K23="Ok",0,IF(K24="Ok",0,IF(K25="Ok",0,IF(K26="Ok",0,IF(K27="Ok",0,IF(K28="Ok",0,"Error sur le nombre de ligne"))))))))))))</f>
        <v>0</v>
      </c>
      <c r="M29">
        <f>SUM(M17:M28)</f>
        <v>9</v>
      </c>
      <c r="N29">
        <f>SUM(N17:N28)</f>
        <v>0</v>
      </c>
      <c r="O29" s="251"/>
      <c r="P29" s="251"/>
      <c r="Q29" s="251">
        <f>IF('Définition PERGOSOLAR'!G40="Yes",SUM(Q17:Q28),0)</f>
        <v>3793</v>
      </c>
      <c r="R29" s="251">
        <f>IF('Définition PERGOSOLAR'!G42="Yes",SUM(R17:R28),0)</f>
        <v>5074</v>
      </c>
      <c r="S29" s="251">
        <f>SUM(S17:S28)</f>
        <v>0</v>
      </c>
      <c r="T29" s="251">
        <f>SUM(T17:T28)</f>
        <v>1</v>
      </c>
      <c r="U29" s="251"/>
      <c r="V29" s="251"/>
      <c r="W29" s="251">
        <f>IF('Définition PERGOSOLAR'!G40="Yes",SUM(W17:W28),0)</f>
        <v>3997</v>
      </c>
      <c r="X29" s="251">
        <f>IF('Définition PERGOSOLAR'!G42="Yes",SUM(X17:X28),0)</f>
        <v>5374</v>
      </c>
    </row>
    <row r="30" spans="2:24">
      <c r="D30" s="737" t="s">
        <v>660</v>
      </c>
      <c r="E30" s="738"/>
      <c r="F30" s="739"/>
      <c r="G30" s="737" t="s">
        <v>664</v>
      </c>
      <c r="H30" s="738"/>
      <c r="I30" s="739"/>
    </row>
    <row r="31" spans="2:24">
      <c r="B31" s="20" t="s">
        <v>152</v>
      </c>
      <c r="C31" s="283" t="str">
        <f>'Définition PERGOSOLAR'!G22</f>
        <v>No</v>
      </c>
      <c r="D31" s="740"/>
      <c r="E31" s="741"/>
      <c r="F31" s="742"/>
      <c r="G31" s="740"/>
      <c r="H31" s="741"/>
      <c r="I31" s="742"/>
    </row>
    <row r="32" spans="2:24" ht="48">
      <c r="B32" s="20" t="s">
        <v>659</v>
      </c>
      <c r="C32" s="283">
        <f>'Définition PERGOSOLAR'!G6</f>
        <v>1</v>
      </c>
      <c r="D32" s="737">
        <f>IF(C31="Yes",2,0)</f>
        <v>0</v>
      </c>
      <c r="E32" s="738"/>
      <c r="F32" s="739"/>
      <c r="G32" s="737">
        <f>IF(C31="Yes",IF(S29&gt;0,C32,C32*2),0)</f>
        <v>0</v>
      </c>
      <c r="H32" s="738"/>
      <c r="I32" s="739"/>
      <c r="K32" s="20"/>
      <c r="L32" s="20"/>
      <c r="M32" s="20"/>
      <c r="N32" s="100" t="s">
        <v>670</v>
      </c>
      <c r="O32" s="100" t="s">
        <v>477</v>
      </c>
      <c r="P32" s="100" t="s">
        <v>480</v>
      </c>
      <c r="Q32" s="105" t="s">
        <v>715</v>
      </c>
      <c r="R32" s="100" t="s">
        <v>477</v>
      </c>
      <c r="S32" s="370" t="s">
        <v>452</v>
      </c>
      <c r="T32" s="384" t="s">
        <v>453</v>
      </c>
      <c r="U32" s="20" t="s">
        <v>743</v>
      </c>
      <c r="V32" s="20" t="s">
        <v>744</v>
      </c>
    </row>
    <row r="33" spans="1:37" ht="30">
      <c r="B33" s="20" t="s">
        <v>658</v>
      </c>
      <c r="C33" s="283" t="str">
        <f>'Définition PERGOSOLAR'!G40</f>
        <v>Yes</v>
      </c>
      <c r="D33" s="740"/>
      <c r="E33" s="741"/>
      <c r="F33" s="742"/>
      <c r="G33" s="740"/>
      <c r="H33" s="741"/>
      <c r="I33" s="742"/>
      <c r="K33" s="20"/>
      <c r="L33" s="105" t="s">
        <v>473</v>
      </c>
      <c r="M33" s="100"/>
      <c r="N33" s="100"/>
      <c r="O33" s="100">
        <f>'Définition PERGOSOLAR'!G29</f>
        <v>3</v>
      </c>
      <c r="P33" s="100"/>
      <c r="Q33" s="20"/>
      <c r="R33" s="100"/>
      <c r="S33" s="25" t="s">
        <v>714</v>
      </c>
      <c r="T33" s="385"/>
      <c r="U33" s="20"/>
      <c r="V33" s="20"/>
    </row>
    <row r="34" spans="1:37">
      <c r="B34" s="20" t="s">
        <v>659</v>
      </c>
      <c r="C34" s="283">
        <f>'Définition PERGOSOLAR'!G41</f>
        <v>1</v>
      </c>
      <c r="D34" s="737">
        <f>IF(C31="No",2,0)</f>
        <v>2</v>
      </c>
      <c r="E34" s="738"/>
      <c r="F34" s="739"/>
      <c r="G34" s="740"/>
      <c r="H34" s="741"/>
      <c r="I34" s="742"/>
      <c r="K34" s="20" t="str">
        <f>C14</f>
        <v>3x3 4 Pieds</v>
      </c>
      <c r="L34" s="100" t="s">
        <v>745</v>
      </c>
      <c r="M34" s="100">
        <f>IF(K34=L34,1,0)</f>
        <v>0</v>
      </c>
      <c r="N34" s="100">
        <v>1</v>
      </c>
      <c r="O34" s="100">
        <f>N34*$O$33</f>
        <v>3</v>
      </c>
      <c r="P34" s="100">
        <f>M34*O34</f>
        <v>0</v>
      </c>
      <c r="Q34" s="100">
        <v>1</v>
      </c>
      <c r="R34" s="100">
        <f>'Définition PERGOSOLAR'!G29</f>
        <v>3</v>
      </c>
      <c r="S34" s="100"/>
      <c r="T34" s="283">
        <f>Q34*M34*R34</f>
        <v>0</v>
      </c>
      <c r="U34" s="100">
        <f>IF(K34=L34,1,0)</f>
        <v>0</v>
      </c>
      <c r="V34" s="100"/>
    </row>
    <row r="35" spans="1:37">
      <c r="B35" s="20" t="s">
        <v>650</v>
      </c>
      <c r="C35" s="283" t="str">
        <f>'Définition PERGOSOLAR'!G42</f>
        <v>Yes</v>
      </c>
      <c r="D35" s="740"/>
      <c r="E35" s="741"/>
      <c r="F35" s="742"/>
      <c r="G35" s="740"/>
      <c r="H35" s="741"/>
      <c r="I35" s="742"/>
      <c r="K35" s="20" t="str">
        <f>K34</f>
        <v>3x3 4 Pieds</v>
      </c>
      <c r="L35" s="100" t="s">
        <v>746</v>
      </c>
      <c r="M35" s="100">
        <f t="shared" ref="M35:M45" si="23">IF(K35=L35,1,0)</f>
        <v>0</v>
      </c>
      <c r="N35" s="100">
        <v>1</v>
      </c>
      <c r="O35" s="100">
        <f t="shared" ref="O35:O45" si="24">N35*$O$33</f>
        <v>3</v>
      </c>
      <c r="P35" s="100">
        <f t="shared" ref="P35:P45" si="25">M35*O35</f>
        <v>0</v>
      </c>
      <c r="Q35" s="100">
        <v>1</v>
      </c>
      <c r="R35" s="100">
        <f>R34</f>
        <v>3</v>
      </c>
      <c r="S35" s="100"/>
      <c r="T35" s="283">
        <f>Q35*M35*R35</f>
        <v>0</v>
      </c>
      <c r="U35" s="100">
        <f t="shared" ref="U35:U45" si="26">IF(K35=L35,1,0)</f>
        <v>0</v>
      </c>
      <c r="V35" s="100"/>
    </row>
    <row r="36" spans="1:37">
      <c r="B36" s="20" t="s">
        <v>659</v>
      </c>
      <c r="C36" s="283">
        <f>'Définition PERGOSOLAR'!G43</f>
        <v>1</v>
      </c>
      <c r="D36" s="740"/>
      <c r="E36" s="741"/>
      <c r="F36" s="742"/>
      <c r="G36" s="737">
        <f>IF(C31="No",IF(S29&gt;0,1,2),0)</f>
        <v>2</v>
      </c>
      <c r="H36" s="738"/>
      <c r="I36" s="739"/>
      <c r="K36" s="20" t="str">
        <f t="shared" ref="K36:K45" si="27">K35</f>
        <v>3x3 4 Pieds</v>
      </c>
      <c r="L36" s="100" t="s">
        <v>748</v>
      </c>
      <c r="M36" s="100">
        <f t="shared" si="23"/>
        <v>0</v>
      </c>
      <c r="N36" s="100">
        <v>2</v>
      </c>
      <c r="O36" s="100">
        <f t="shared" si="24"/>
        <v>6</v>
      </c>
      <c r="P36" s="100">
        <f t="shared" si="25"/>
        <v>0</v>
      </c>
      <c r="Q36" s="100">
        <v>2</v>
      </c>
      <c r="R36" s="100">
        <f t="shared" ref="R36:R45" si="28">R35</f>
        <v>3</v>
      </c>
      <c r="S36" s="100">
        <f>Q36*M36*R36</f>
        <v>0</v>
      </c>
      <c r="T36" s="283"/>
      <c r="U36" s="100"/>
      <c r="V36" s="100">
        <f>IF(K36=L36,1,0)</f>
        <v>0</v>
      </c>
    </row>
    <row r="37" spans="1:37">
      <c r="B37" s="100" t="s">
        <v>647</v>
      </c>
      <c r="C37" s="100" t="s">
        <v>663</v>
      </c>
      <c r="D37" s="737">
        <f>MAX(D31:F36)</f>
        <v>2</v>
      </c>
      <c r="E37" s="738"/>
      <c r="F37" s="739"/>
      <c r="G37" s="737">
        <f>MAX(G31:I36)</f>
        <v>2</v>
      </c>
      <c r="H37" s="738"/>
      <c r="I37" s="739"/>
      <c r="K37" s="20" t="str">
        <f t="shared" si="27"/>
        <v>3x3 4 Pieds</v>
      </c>
      <c r="L37" s="100" t="s">
        <v>747</v>
      </c>
      <c r="M37" s="100">
        <f t="shared" si="23"/>
        <v>0</v>
      </c>
      <c r="N37" s="100">
        <v>2</v>
      </c>
      <c r="O37" s="100">
        <f t="shared" si="24"/>
        <v>6</v>
      </c>
      <c r="P37" s="100">
        <f t="shared" si="25"/>
        <v>0</v>
      </c>
      <c r="Q37" s="100">
        <v>2</v>
      </c>
      <c r="R37" s="100">
        <f t="shared" si="28"/>
        <v>3</v>
      </c>
      <c r="S37" s="100">
        <f t="shared" ref="S37:S43" si="29">Q37*M37*R37</f>
        <v>0</v>
      </c>
      <c r="T37" s="283"/>
      <c r="U37" s="100"/>
      <c r="V37" s="100">
        <f t="shared" ref="V37:V43" si="30">IF(K37=L37,1,0)</f>
        <v>0</v>
      </c>
    </row>
    <row r="38" spans="1:37">
      <c r="B38" s="100">
        <v>0</v>
      </c>
      <c r="C38" s="100">
        <v>0</v>
      </c>
      <c r="K38" s="20" t="str">
        <f t="shared" si="27"/>
        <v>3x3 4 Pieds</v>
      </c>
      <c r="L38" s="100" t="s">
        <v>749</v>
      </c>
      <c r="M38" s="100">
        <f t="shared" si="23"/>
        <v>0</v>
      </c>
      <c r="N38" s="100">
        <v>2</v>
      </c>
      <c r="O38" s="100">
        <f t="shared" si="24"/>
        <v>6</v>
      </c>
      <c r="P38" s="100">
        <f t="shared" si="25"/>
        <v>0</v>
      </c>
      <c r="Q38" s="100">
        <v>2</v>
      </c>
      <c r="R38" s="100">
        <f t="shared" si="28"/>
        <v>3</v>
      </c>
      <c r="S38" s="100">
        <f t="shared" si="29"/>
        <v>0</v>
      </c>
      <c r="T38" s="283"/>
      <c r="U38" s="100"/>
      <c r="V38" s="100">
        <f t="shared" si="30"/>
        <v>0</v>
      </c>
    </row>
    <row r="39" spans="1:37">
      <c r="B39" s="100">
        <f>IF(D37&gt;0,1,0)</f>
        <v>1</v>
      </c>
      <c r="C39" s="100">
        <f>IF($G$37&gt;0,IF($G$37&gt;0,1,0),0)</f>
        <v>1</v>
      </c>
      <c r="K39" s="20" t="str">
        <f t="shared" si="27"/>
        <v>3x3 4 Pieds</v>
      </c>
      <c r="L39" s="100" t="s">
        <v>750</v>
      </c>
      <c r="M39" s="100">
        <f t="shared" si="23"/>
        <v>1</v>
      </c>
      <c r="N39" s="100">
        <v>2</v>
      </c>
      <c r="O39" s="100">
        <f t="shared" si="24"/>
        <v>6</v>
      </c>
      <c r="P39" s="100">
        <f t="shared" si="25"/>
        <v>6</v>
      </c>
      <c r="Q39" s="100">
        <v>2</v>
      </c>
      <c r="R39" s="100">
        <f t="shared" si="28"/>
        <v>3</v>
      </c>
      <c r="S39" s="100">
        <f t="shared" si="29"/>
        <v>6</v>
      </c>
      <c r="T39" s="283"/>
      <c r="U39" s="100"/>
      <c r="V39" s="100">
        <f t="shared" si="30"/>
        <v>1</v>
      </c>
    </row>
    <row r="40" spans="1:37">
      <c r="B40" s="100">
        <f>IF(D37&lt;3,IF(D37&gt;1,2,0),0)</f>
        <v>2</v>
      </c>
      <c r="C40" s="100">
        <f>IF($G$37&gt;1,IF($G$37&gt;0,2,0),0)</f>
        <v>2</v>
      </c>
      <c r="K40" s="20" t="str">
        <f t="shared" si="27"/>
        <v>3x3 4 Pieds</v>
      </c>
      <c r="L40" s="100" t="s">
        <v>752</v>
      </c>
      <c r="M40" s="100">
        <f t="shared" si="23"/>
        <v>0</v>
      </c>
      <c r="N40" s="100">
        <v>1</v>
      </c>
      <c r="O40" s="100">
        <f t="shared" si="24"/>
        <v>3</v>
      </c>
      <c r="P40" s="100">
        <f t="shared" si="25"/>
        <v>0</v>
      </c>
      <c r="Q40" s="100">
        <v>1</v>
      </c>
      <c r="R40" s="100">
        <f t="shared" si="28"/>
        <v>3</v>
      </c>
      <c r="S40" s="100"/>
      <c r="T40" s="283">
        <f t="shared" ref="T40:T45" si="31">Q40*M40*R40</f>
        <v>0</v>
      </c>
      <c r="U40" s="100">
        <f t="shared" si="26"/>
        <v>0</v>
      </c>
      <c r="V40" s="100"/>
    </row>
    <row r="41" spans="1:37">
      <c r="B41" s="100">
        <f>IF(D37&lt;4,IF(D37&gt;2,2,0),0)</f>
        <v>0</v>
      </c>
      <c r="C41" s="100">
        <f>IF($G$37&gt;2,IF($G$37&gt;0,3,0),0)</f>
        <v>0</v>
      </c>
      <c r="K41" s="20" t="str">
        <f t="shared" si="27"/>
        <v>3x3 4 Pieds</v>
      </c>
      <c r="L41" s="100" t="s">
        <v>751</v>
      </c>
      <c r="M41" s="100">
        <f t="shared" si="23"/>
        <v>0</v>
      </c>
      <c r="N41" s="100">
        <v>1</v>
      </c>
      <c r="O41" s="100">
        <f t="shared" si="24"/>
        <v>3</v>
      </c>
      <c r="P41" s="100">
        <f t="shared" si="25"/>
        <v>0</v>
      </c>
      <c r="Q41" s="100">
        <v>1</v>
      </c>
      <c r="R41" s="100">
        <f t="shared" si="28"/>
        <v>3</v>
      </c>
      <c r="S41" s="100"/>
      <c r="T41" s="283">
        <f t="shared" si="31"/>
        <v>0</v>
      </c>
      <c r="U41" s="100">
        <f t="shared" si="26"/>
        <v>0</v>
      </c>
      <c r="V41" s="100"/>
    </row>
    <row r="42" spans="1:37">
      <c r="B42" s="100">
        <f>IF(D37&lt;5,IF(D37&gt;3,2,0),0)</f>
        <v>0</v>
      </c>
      <c r="C42" s="100">
        <f>IF($G$37&gt;3,IF($G$37&gt;0,4,0),0)</f>
        <v>0</v>
      </c>
      <c r="K42" s="20" t="str">
        <f t="shared" si="27"/>
        <v>3x3 4 Pieds</v>
      </c>
      <c r="L42" s="100" t="s">
        <v>753</v>
      </c>
      <c r="M42" s="100">
        <f t="shared" si="23"/>
        <v>0</v>
      </c>
      <c r="N42" s="100">
        <v>2</v>
      </c>
      <c r="O42" s="100">
        <f t="shared" si="24"/>
        <v>6</v>
      </c>
      <c r="P42" s="100">
        <f t="shared" si="25"/>
        <v>0</v>
      </c>
      <c r="Q42" s="100">
        <v>2</v>
      </c>
      <c r="R42" s="100">
        <f t="shared" si="28"/>
        <v>3</v>
      </c>
      <c r="S42" s="100">
        <f t="shared" si="29"/>
        <v>0</v>
      </c>
      <c r="T42" s="456"/>
      <c r="U42" s="455"/>
      <c r="V42" s="100">
        <f t="shared" si="30"/>
        <v>0</v>
      </c>
    </row>
    <row r="43" spans="1:37">
      <c r="C43" s="100">
        <f>IF($G$37&gt;4,IF($G$37&gt;0,5,0),0)</f>
        <v>0</v>
      </c>
      <c r="K43" s="20" t="str">
        <f t="shared" si="27"/>
        <v>3x3 4 Pieds</v>
      </c>
      <c r="L43" s="100" t="s">
        <v>754</v>
      </c>
      <c r="M43" s="100">
        <f t="shared" si="23"/>
        <v>0</v>
      </c>
      <c r="N43" s="100">
        <v>2</v>
      </c>
      <c r="O43" s="100">
        <f t="shared" si="24"/>
        <v>6</v>
      </c>
      <c r="P43" s="100">
        <f t="shared" si="25"/>
        <v>0</v>
      </c>
      <c r="Q43" s="100">
        <v>2</v>
      </c>
      <c r="R43" s="100">
        <f t="shared" si="28"/>
        <v>3</v>
      </c>
      <c r="S43" s="100">
        <f t="shared" si="29"/>
        <v>0</v>
      </c>
      <c r="T43" s="456"/>
      <c r="U43" s="455"/>
      <c r="V43" s="100">
        <f t="shared" si="30"/>
        <v>0</v>
      </c>
    </row>
    <row r="44" spans="1:37">
      <c r="C44" s="100">
        <f>IF($G$37&gt;5,IF($G$37&gt;0,6,0),0)</f>
        <v>0</v>
      </c>
      <c r="K44" s="409" t="str">
        <f t="shared" si="27"/>
        <v>3x3 4 Pieds</v>
      </c>
      <c r="L44" s="455" t="s">
        <v>1005</v>
      </c>
      <c r="M44" s="455">
        <f t="shared" si="23"/>
        <v>0</v>
      </c>
      <c r="N44" s="455">
        <v>1</v>
      </c>
      <c r="O44" s="455">
        <f t="shared" si="24"/>
        <v>3</v>
      </c>
      <c r="P44" s="455">
        <f t="shared" si="25"/>
        <v>0</v>
      </c>
      <c r="Q44" s="455">
        <v>1</v>
      </c>
      <c r="R44" s="455">
        <f t="shared" si="28"/>
        <v>3</v>
      </c>
      <c r="S44" s="409"/>
      <c r="T44" s="456">
        <f>Q44*M44*R44</f>
        <v>0</v>
      </c>
      <c r="U44" s="455">
        <f>IF(K44=L44,1,0)</f>
        <v>0</v>
      </c>
      <c r="V44" s="455"/>
    </row>
    <row r="45" spans="1:37">
      <c r="C45" s="100">
        <f>IF($G$37&gt;6,IF($G$37&gt;0,7,0),0)</f>
        <v>0</v>
      </c>
      <c r="K45" s="409" t="str">
        <f t="shared" si="27"/>
        <v>3x3 4 Pieds</v>
      </c>
      <c r="L45" s="455" t="s">
        <v>1006</v>
      </c>
      <c r="M45" s="455">
        <f t="shared" si="23"/>
        <v>0</v>
      </c>
      <c r="N45" s="455">
        <v>1</v>
      </c>
      <c r="O45" s="455">
        <f t="shared" si="24"/>
        <v>3</v>
      </c>
      <c r="P45" s="455">
        <f t="shared" si="25"/>
        <v>0</v>
      </c>
      <c r="Q45" s="455">
        <v>1</v>
      </c>
      <c r="R45" s="455">
        <f t="shared" si="28"/>
        <v>3</v>
      </c>
      <c r="S45" s="409"/>
      <c r="T45" s="456">
        <f t="shared" si="31"/>
        <v>0</v>
      </c>
      <c r="U45" s="455">
        <f t="shared" si="26"/>
        <v>0</v>
      </c>
      <c r="V45" s="455"/>
    </row>
    <row r="46" spans="1:37">
      <c r="C46" s="100">
        <f>IF($G$37&gt;7,IF($G$37&gt;0,8,0),0)</f>
        <v>0</v>
      </c>
      <c r="P46" s="271">
        <f>SUM(P34:P45)</f>
        <v>6</v>
      </c>
      <c r="S46" s="271">
        <f>SUM(S34:S45)</f>
        <v>6</v>
      </c>
      <c r="T46" s="475">
        <f>SUM(T34:T45)</f>
        <v>0</v>
      </c>
      <c r="U46" s="287">
        <f>SUM(U34:U45)</f>
        <v>0</v>
      </c>
      <c r="V46" s="287">
        <f>SUM(V34:V45)</f>
        <v>1</v>
      </c>
    </row>
    <row r="47" spans="1:37">
      <c r="C47" s="100">
        <f>IF($G$37&gt;8,IF($G$37&gt;0,9,0),0)</f>
        <v>0</v>
      </c>
    </row>
    <row r="48" spans="1:37" ht="15.75" thickBot="1">
      <c r="A48" s="120"/>
      <c r="B48" s="120"/>
      <c r="C48" s="120"/>
      <c r="D48" s="120"/>
      <c r="E48" s="120"/>
      <c r="F48" s="120"/>
      <c r="G48" s="120"/>
      <c r="H48" s="120"/>
      <c r="I48" s="120"/>
      <c r="J48" s="120"/>
      <c r="K48" s="121"/>
      <c r="L48" s="121"/>
      <c r="M48" s="121"/>
      <c r="N48" s="122"/>
      <c r="O48" s="122"/>
      <c r="P48" s="122"/>
      <c r="Q48" s="120"/>
      <c r="R48" s="123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</row>
    <row r="49" spans="1:37">
      <c r="A49" s="124" t="s">
        <v>513</v>
      </c>
      <c r="B49" s="223" t="s">
        <v>514</v>
      </c>
      <c r="C49" s="224"/>
      <c r="D49" s="751" t="s">
        <v>515</v>
      </c>
      <c r="E49" s="839" t="s">
        <v>516</v>
      </c>
      <c r="F49" s="840"/>
      <c r="G49" s="840"/>
      <c r="H49" s="841"/>
      <c r="J49" s="753" t="s">
        <v>517</v>
      </c>
      <c r="K49" s="754"/>
      <c r="L49" s="755"/>
      <c r="M49" s="125"/>
      <c r="N49" s="759" t="s">
        <v>518</v>
      </c>
      <c r="O49" s="760"/>
      <c r="P49" s="761"/>
      <c r="Q49" s="126"/>
      <c r="R49" s="123"/>
      <c r="S49" s="765" t="s">
        <v>519</v>
      </c>
      <c r="T49" s="766"/>
      <c r="U49" s="767"/>
      <c r="V49" s="120"/>
      <c r="W49" s="772" t="s">
        <v>520</v>
      </c>
      <c r="X49" s="773"/>
      <c r="Y49" s="127"/>
      <c r="AA49" s="743" t="s">
        <v>521</v>
      </c>
      <c r="AB49" s="743" t="s">
        <v>522</v>
      </c>
      <c r="AC49" s="743" t="s">
        <v>523</v>
      </c>
      <c r="AD49" s="743" t="s">
        <v>524</v>
      </c>
      <c r="AH49" s="120"/>
      <c r="AI49" s="120"/>
      <c r="AJ49" s="120"/>
      <c r="AK49" s="120"/>
    </row>
    <row r="50" spans="1:37" ht="15.75" thickBot="1">
      <c r="A50" s="128" t="s">
        <v>525</v>
      </c>
      <c r="B50" s="225"/>
      <c r="C50" s="226"/>
      <c r="D50" s="752"/>
      <c r="E50" s="842"/>
      <c r="F50" s="843"/>
      <c r="G50" s="843"/>
      <c r="H50" s="844"/>
      <c r="J50" s="756"/>
      <c r="K50" s="757"/>
      <c r="L50" s="758"/>
      <c r="M50" s="125"/>
      <c r="N50" s="762"/>
      <c r="O50" s="763"/>
      <c r="P50" s="764"/>
      <c r="Q50" s="126"/>
      <c r="R50" s="123"/>
      <c r="S50" s="768"/>
      <c r="T50" s="769"/>
      <c r="U50" s="770"/>
      <c r="V50" s="120"/>
      <c r="W50" s="774"/>
      <c r="X50" s="775"/>
      <c r="Y50" s="129"/>
      <c r="AA50" s="744"/>
      <c r="AB50" s="744"/>
      <c r="AC50" s="744"/>
      <c r="AD50" s="744"/>
      <c r="AH50" s="120"/>
      <c r="AI50" s="120"/>
      <c r="AJ50" s="120"/>
      <c r="AK50" s="120"/>
    </row>
    <row r="51" spans="1:37">
      <c r="A51" s="130">
        <v>22</v>
      </c>
      <c r="B51" s="230" t="s">
        <v>630</v>
      </c>
      <c r="C51" s="131"/>
      <c r="D51" s="133">
        <v>0</v>
      </c>
      <c r="E51" s="134"/>
      <c r="F51" s="227"/>
      <c r="G51" s="227"/>
      <c r="H51" s="135"/>
      <c r="J51" s="136"/>
      <c r="K51" s="137"/>
      <c r="L51" s="138"/>
      <c r="M51" s="139"/>
      <c r="N51" s="140" t="s">
        <v>526</v>
      </c>
      <c r="O51" s="141"/>
      <c r="P51" s="142">
        <v>5</v>
      </c>
      <c r="Q51" s="143" t="s">
        <v>527</v>
      </c>
      <c r="R51" s="123"/>
      <c r="S51" s="745" t="s">
        <v>528</v>
      </c>
      <c r="T51" s="747">
        <f>'Définition PERGOSOLAR'!M67</f>
        <v>0</v>
      </c>
      <c r="U51" s="748" t="s">
        <v>529</v>
      </c>
      <c r="V51" s="120"/>
      <c r="W51" s="749" t="s">
        <v>530</v>
      </c>
      <c r="X51" s="750"/>
      <c r="Y51" s="144">
        <f>Y55*Y57*Y59*Y61*1000</f>
        <v>1119.9999999999998</v>
      </c>
      <c r="AA51" s="145" t="s">
        <v>531</v>
      </c>
      <c r="AB51" s="146">
        <v>0.8</v>
      </c>
      <c r="AC51" s="147" t="s">
        <v>532</v>
      </c>
      <c r="AD51" s="148">
        <v>0</v>
      </c>
      <c r="AH51" s="120"/>
      <c r="AI51" s="120"/>
      <c r="AJ51" s="120"/>
      <c r="AK51" s="120"/>
    </row>
    <row r="52" spans="1:37">
      <c r="A52" s="130">
        <v>24</v>
      </c>
      <c r="B52" s="149" t="s">
        <v>533</v>
      </c>
      <c r="C52" s="123"/>
      <c r="D52" s="133">
        <f>D51+1</f>
        <v>1</v>
      </c>
      <c r="E52" s="133"/>
      <c r="H52" s="150"/>
      <c r="J52" s="149"/>
      <c r="K52" s="123"/>
      <c r="L52" s="151"/>
      <c r="M52" s="123"/>
      <c r="N52" s="152" t="s">
        <v>534</v>
      </c>
      <c r="O52" s="153"/>
      <c r="P52" s="154">
        <v>5</v>
      </c>
      <c r="Q52" s="143" t="s">
        <v>527</v>
      </c>
      <c r="R52" s="123"/>
      <c r="S52" s="746"/>
      <c r="T52" s="747"/>
      <c r="U52" s="748"/>
      <c r="V52" s="120"/>
      <c r="W52" s="749"/>
      <c r="X52" s="750"/>
      <c r="Y52" s="155"/>
      <c r="AA52" s="145" t="s">
        <v>531</v>
      </c>
      <c r="AB52" s="146">
        <f>IF(P54&gt;=0,IF(P54&lt;=30,0.8,0))</f>
        <v>0.8</v>
      </c>
      <c r="AC52" s="146">
        <f>IF(P54&gt;=30,IF(P54&lt;=60,(0.8*(60-P54)/30),0),0)</f>
        <v>0</v>
      </c>
      <c r="AD52" s="148">
        <f>IF(P54&gt;=60,0,0)</f>
        <v>0</v>
      </c>
      <c r="AH52" s="120"/>
      <c r="AI52" s="120"/>
      <c r="AJ52" s="120"/>
      <c r="AK52" s="120"/>
    </row>
    <row r="53" spans="1:37">
      <c r="A53" s="130">
        <v>26</v>
      </c>
      <c r="B53" s="149" t="s">
        <v>535</v>
      </c>
      <c r="C53" s="123"/>
      <c r="D53" s="133">
        <f t="shared" ref="D53:D101" si="32">D52+1</f>
        <v>2</v>
      </c>
      <c r="E53" s="133"/>
      <c r="H53" s="150"/>
      <c r="J53" s="156"/>
      <c r="K53" s="139"/>
      <c r="L53" s="157"/>
      <c r="M53" s="139"/>
      <c r="N53" s="140" t="s">
        <v>536</v>
      </c>
      <c r="O53" s="141"/>
      <c r="P53" s="142">
        <v>3</v>
      </c>
      <c r="Q53" s="143" t="s">
        <v>527</v>
      </c>
      <c r="R53" s="139"/>
      <c r="S53" s="745" t="s">
        <v>537</v>
      </c>
      <c r="T53" s="747">
        <f>'Définition PERGOSOLAR'!M64</f>
        <v>0</v>
      </c>
      <c r="U53" s="748" t="s">
        <v>529</v>
      </c>
      <c r="V53" s="120"/>
      <c r="W53" s="749" t="s">
        <v>538</v>
      </c>
      <c r="X53" s="750"/>
      <c r="Y53" s="144">
        <f>Y55*Y57*Y59*Y62*1000</f>
        <v>0</v>
      </c>
      <c r="AH53" s="120"/>
      <c r="AI53" s="120"/>
      <c r="AJ53" s="120"/>
      <c r="AK53" s="120"/>
    </row>
    <row r="54" spans="1:37">
      <c r="A54" s="130">
        <v>28</v>
      </c>
      <c r="B54" s="149" t="s">
        <v>471</v>
      </c>
      <c r="C54" s="123"/>
      <c r="D54" s="133">
        <f t="shared" si="32"/>
        <v>3</v>
      </c>
      <c r="E54" s="133"/>
      <c r="H54" s="150"/>
      <c r="J54" s="158"/>
      <c r="K54" s="159"/>
      <c r="L54" s="160"/>
      <c r="M54" s="159"/>
      <c r="N54" s="147" t="s">
        <v>539</v>
      </c>
      <c r="O54" s="161"/>
      <c r="P54" s="162">
        <f>D102</f>
        <v>7.5</v>
      </c>
      <c r="Q54" s="143" t="s">
        <v>540</v>
      </c>
      <c r="R54" s="159"/>
      <c r="S54" s="746"/>
      <c r="T54" s="747"/>
      <c r="U54" s="748"/>
      <c r="V54" s="120"/>
      <c r="W54" s="749"/>
      <c r="X54" s="750"/>
      <c r="Y54" s="163"/>
      <c r="AH54" s="120"/>
      <c r="AI54" s="120"/>
      <c r="AJ54" s="120"/>
      <c r="AK54" s="120"/>
    </row>
    <row r="55" spans="1:37">
      <c r="A55" s="130">
        <v>30</v>
      </c>
      <c r="B55" s="149" t="s">
        <v>541</v>
      </c>
      <c r="C55" s="123"/>
      <c r="D55" s="133">
        <f t="shared" si="32"/>
        <v>4</v>
      </c>
      <c r="E55" s="133"/>
      <c r="H55" s="150"/>
      <c r="J55" s="164"/>
      <c r="K55" s="165"/>
      <c r="L55" s="166"/>
      <c r="M55" s="165"/>
      <c r="N55" s="147" t="s">
        <v>542</v>
      </c>
      <c r="O55" s="161"/>
      <c r="P55" s="162">
        <v>0</v>
      </c>
      <c r="Q55" s="143" t="s">
        <v>527</v>
      </c>
      <c r="R55" s="165"/>
      <c r="S55" s="165"/>
      <c r="T55" s="165"/>
      <c r="U55" s="165"/>
      <c r="V55" s="120"/>
      <c r="W55" s="749" t="s">
        <v>543</v>
      </c>
      <c r="X55" s="750"/>
      <c r="Y55" s="771">
        <f>IF(Y64&gt;0,IF(Y64&lt;=30,0.8,IF(#REF!="non",(0.8*(60-Y64)/30),0.8)))</f>
        <v>0.8</v>
      </c>
      <c r="AH55" s="120"/>
      <c r="AI55" s="120"/>
      <c r="AJ55" s="120"/>
      <c r="AK55" s="120"/>
    </row>
    <row r="56" spans="1:37">
      <c r="A56" s="130">
        <v>32</v>
      </c>
      <c r="B56" s="149"/>
      <c r="C56" s="123"/>
      <c r="D56" s="133">
        <f t="shared" si="32"/>
        <v>5</v>
      </c>
      <c r="E56" s="133"/>
      <c r="H56" s="150"/>
      <c r="J56" s="158"/>
      <c r="K56" s="159"/>
      <c r="L56" s="160"/>
      <c r="M56" s="159"/>
      <c r="N56" s="147" t="s">
        <v>544</v>
      </c>
      <c r="O56" s="161"/>
      <c r="P56" s="162">
        <v>0</v>
      </c>
      <c r="Q56" s="143" t="s">
        <v>527</v>
      </c>
      <c r="R56" s="159"/>
      <c r="S56" s="765" t="s">
        <v>688</v>
      </c>
      <c r="T56" s="766"/>
      <c r="U56" s="767"/>
      <c r="V56" s="120"/>
      <c r="W56" s="749"/>
      <c r="X56" s="750"/>
      <c r="Y56" s="771"/>
      <c r="AA56" s="120"/>
      <c r="AB56" s="120"/>
      <c r="AC56" s="120"/>
      <c r="AD56" s="120"/>
      <c r="AE56" s="120"/>
      <c r="AF56" s="776" t="s">
        <v>545</v>
      </c>
      <c r="AG56" s="777"/>
      <c r="AH56" s="776" t="s">
        <v>546</v>
      </c>
      <c r="AI56" s="777"/>
      <c r="AJ56" s="776" t="s">
        <v>547</v>
      </c>
      <c r="AK56" s="777"/>
    </row>
    <row r="57" spans="1:37">
      <c r="A57" s="130">
        <v>34</v>
      </c>
      <c r="B57" s="149"/>
      <c r="C57" s="123"/>
      <c r="D57" s="133">
        <f t="shared" si="32"/>
        <v>6</v>
      </c>
      <c r="E57" s="133"/>
      <c r="H57" s="150"/>
      <c r="J57" s="167"/>
      <c r="K57" s="168"/>
      <c r="L57" s="169"/>
      <c r="M57" s="168"/>
      <c r="N57" s="147" t="s">
        <v>548</v>
      </c>
      <c r="O57" s="161"/>
      <c r="P57" s="162">
        <f>Y61</f>
        <v>1.4</v>
      </c>
      <c r="Q57" s="120"/>
      <c r="R57" s="168"/>
      <c r="S57" s="768"/>
      <c r="T57" s="769"/>
      <c r="U57" s="770"/>
      <c r="V57" s="120"/>
      <c r="W57" s="749" t="s">
        <v>549</v>
      </c>
      <c r="X57" s="750"/>
      <c r="Y57" s="778">
        <v>1</v>
      </c>
      <c r="AA57" s="100" t="s">
        <v>550</v>
      </c>
      <c r="AB57" s="100" t="s">
        <v>548</v>
      </c>
      <c r="AC57" s="100" t="s">
        <v>551</v>
      </c>
      <c r="AD57" s="100" t="s">
        <v>552</v>
      </c>
      <c r="AE57" s="100" t="s">
        <v>553</v>
      </c>
      <c r="AF57" s="100" t="s">
        <v>554</v>
      </c>
      <c r="AG57" s="100" t="s">
        <v>555</v>
      </c>
      <c r="AH57" s="100" t="s">
        <v>554</v>
      </c>
      <c r="AI57" s="100" t="s">
        <v>555</v>
      </c>
      <c r="AJ57" s="100" t="s">
        <v>554</v>
      </c>
      <c r="AK57" s="100" t="s">
        <v>555</v>
      </c>
    </row>
    <row r="58" spans="1:37">
      <c r="A58" s="130">
        <v>36</v>
      </c>
      <c r="B58" s="149"/>
      <c r="C58" s="123"/>
      <c r="D58" s="133">
        <f t="shared" si="32"/>
        <v>7</v>
      </c>
      <c r="E58" s="133"/>
      <c r="H58" s="150"/>
      <c r="J58" s="167"/>
      <c r="K58" s="168"/>
      <c r="L58" s="169"/>
      <c r="M58" s="168"/>
      <c r="N58" s="147" t="s">
        <v>556</v>
      </c>
      <c r="O58" s="161"/>
      <c r="P58" s="162">
        <f>AB52+AC52+AD52</f>
        <v>0.8</v>
      </c>
      <c r="Q58" s="120"/>
      <c r="R58" s="168"/>
      <c r="S58" s="745" t="s">
        <v>528</v>
      </c>
      <c r="T58" s="779">
        <f>P75</f>
        <v>1232.28</v>
      </c>
      <c r="U58" s="748" t="s">
        <v>529</v>
      </c>
      <c r="V58" s="120"/>
      <c r="W58" s="749"/>
      <c r="X58" s="750"/>
      <c r="Y58" s="778"/>
      <c r="AA58" s="20" t="s">
        <v>557</v>
      </c>
      <c r="AB58" s="100">
        <v>0.45</v>
      </c>
      <c r="AC58" s="100">
        <v>0.45</v>
      </c>
      <c r="AD58" s="100">
        <v>0</v>
      </c>
      <c r="AE58" s="100">
        <v>0</v>
      </c>
      <c r="AF58" s="100">
        <f>(Y65/1000)-0.2</f>
        <v>0.60000000000000009</v>
      </c>
      <c r="AG58" s="170"/>
      <c r="AH58" s="100">
        <f>1.5*(Y65/1000)-0.45</f>
        <v>0.75000000000000022</v>
      </c>
      <c r="AI58" s="170"/>
      <c r="AJ58" s="100">
        <f>3.5*(Y65/1000)-2.45</f>
        <v>0.35000000000000009</v>
      </c>
      <c r="AK58" s="170"/>
    </row>
    <row r="59" spans="1:37">
      <c r="A59" s="171"/>
      <c r="B59" s="149"/>
      <c r="C59" s="123"/>
      <c r="D59" s="133">
        <f t="shared" si="32"/>
        <v>8</v>
      </c>
      <c r="E59" s="133"/>
      <c r="H59" s="150"/>
      <c r="J59" s="167"/>
      <c r="K59" s="168"/>
      <c r="L59" s="169"/>
      <c r="M59" s="168"/>
      <c r="N59" s="147" t="s">
        <v>558</v>
      </c>
      <c r="O59" s="161"/>
      <c r="P59" s="162">
        <f>IF(P53&lt;=7.5,IF(P53&gt;=2.5,2*P53,0),0)</f>
        <v>6</v>
      </c>
      <c r="Q59" s="143" t="s">
        <v>527</v>
      </c>
      <c r="R59" s="168"/>
      <c r="S59" s="746"/>
      <c r="T59" s="779"/>
      <c r="U59" s="748"/>
      <c r="V59" s="120"/>
      <c r="W59" s="749" t="s">
        <v>559</v>
      </c>
      <c r="X59" s="750"/>
      <c r="Y59" s="778">
        <v>1</v>
      </c>
      <c r="AA59" s="20" t="s">
        <v>472</v>
      </c>
      <c r="AB59" s="100">
        <v>0.45</v>
      </c>
      <c r="AC59" s="100">
        <v>0.45</v>
      </c>
      <c r="AD59" s="100">
        <v>1</v>
      </c>
      <c r="AE59" s="100">
        <v>1</v>
      </c>
      <c r="AF59" s="100">
        <f>(Y65/1000)-0.2</f>
        <v>0.60000000000000009</v>
      </c>
      <c r="AG59" s="170"/>
      <c r="AH59" s="100">
        <f>1.5*(Y65/1000)-0.45</f>
        <v>0.75000000000000022</v>
      </c>
      <c r="AI59" s="170"/>
      <c r="AJ59" s="100">
        <f>3.5*(Y65/1000)-2.45</f>
        <v>0.35000000000000009</v>
      </c>
      <c r="AK59" s="170"/>
    </row>
    <row r="60" spans="1:37">
      <c r="A60" s="171"/>
      <c r="B60" s="149"/>
      <c r="C60" s="123"/>
      <c r="D60" s="133">
        <f t="shared" si="32"/>
        <v>9</v>
      </c>
      <c r="E60" s="133"/>
      <c r="H60" s="150"/>
      <c r="J60" s="167"/>
      <c r="K60" s="168"/>
      <c r="L60" s="169"/>
      <c r="M60" s="168"/>
      <c r="N60" s="140" t="s">
        <v>560</v>
      </c>
      <c r="O60" s="141"/>
      <c r="P60" s="144">
        <f>'Définition PERGOSOLAR'!M60</f>
        <v>800</v>
      </c>
      <c r="Q60" s="143" t="s">
        <v>527</v>
      </c>
      <c r="R60" s="168"/>
      <c r="S60" s="745" t="s">
        <v>537</v>
      </c>
      <c r="T60" s="779">
        <f>IF(Y53=0,Y51,MAX(Y51:Y53))</f>
        <v>1119.9999999999998</v>
      </c>
      <c r="U60" s="748" t="s">
        <v>529</v>
      </c>
      <c r="V60" s="120"/>
      <c r="W60" s="749"/>
      <c r="X60" s="750"/>
      <c r="Y60" s="778"/>
      <c r="AA60" s="20" t="s">
        <v>561</v>
      </c>
      <c r="AB60" s="100">
        <v>0.55000000000000004</v>
      </c>
      <c r="AC60" s="100">
        <v>0.55000000000000004</v>
      </c>
      <c r="AD60" s="100">
        <v>1</v>
      </c>
      <c r="AE60" s="100">
        <v>1</v>
      </c>
      <c r="AF60" s="100">
        <f>(Y65/1000)-0.2</f>
        <v>0.60000000000000009</v>
      </c>
      <c r="AG60" s="170"/>
      <c r="AH60" s="100">
        <f>1.5*(Y65/1000)-0.45</f>
        <v>0.75000000000000022</v>
      </c>
      <c r="AI60" s="170"/>
      <c r="AJ60" s="100">
        <f>3.5*(Y65/1000)-2.45</f>
        <v>0.35000000000000009</v>
      </c>
      <c r="AK60" s="170"/>
    </row>
    <row r="61" spans="1:37">
      <c r="A61" s="171"/>
      <c r="B61" s="149"/>
      <c r="C61" s="123"/>
      <c r="D61" s="133">
        <f t="shared" si="32"/>
        <v>10</v>
      </c>
      <c r="E61" s="133"/>
      <c r="H61" s="150"/>
      <c r="J61" s="167"/>
      <c r="K61" s="168"/>
      <c r="L61" s="169"/>
      <c r="M61" s="168"/>
      <c r="N61" s="172" t="s">
        <v>562</v>
      </c>
      <c r="O61" s="173"/>
      <c r="P61" s="100">
        <v>296</v>
      </c>
      <c r="Q61" s="143" t="s">
        <v>529</v>
      </c>
      <c r="R61" s="168">
        <f>P61/22</f>
        <v>13.454545454545455</v>
      </c>
      <c r="S61" s="746"/>
      <c r="T61" s="779"/>
      <c r="U61" s="748"/>
      <c r="V61" s="120"/>
      <c r="W61" s="749" t="s">
        <v>548</v>
      </c>
      <c r="X61" s="750"/>
      <c r="Y61" s="174">
        <f>IF(Y63="A1",AB58,IF(Y63="A2",AB59,IF(Y63="B1",AB60,IF(Y63="B2",AB61,IF(Y63="C1",AB62,IF(Y63="C2",AB63,IF(Y63="D",AB64,IF(Y63="E",AB65,))))))))</f>
        <v>1.4</v>
      </c>
      <c r="AA61" s="20" t="s">
        <v>563</v>
      </c>
      <c r="AB61" s="100">
        <v>0.55000000000000004</v>
      </c>
      <c r="AC61" s="100">
        <v>0.55000000000000004</v>
      </c>
      <c r="AD61" s="100">
        <v>1.35</v>
      </c>
      <c r="AE61" s="100">
        <v>1.35</v>
      </c>
      <c r="AF61" s="100">
        <f>(Y65/1000)-0.2</f>
        <v>0.60000000000000009</v>
      </c>
      <c r="AG61" s="170"/>
      <c r="AH61" s="100">
        <f>1.5*(Y65/1000)-0.45</f>
        <v>0.75000000000000022</v>
      </c>
      <c r="AI61" s="170"/>
      <c r="AJ61" s="100">
        <f>3.5*(Y65/1000)-2.45</f>
        <v>0.35000000000000009</v>
      </c>
      <c r="AK61" s="170"/>
    </row>
    <row r="62" spans="1:37">
      <c r="A62" s="175">
        <f>'Définition PERGOSOLAR'!M66</f>
        <v>36</v>
      </c>
      <c r="B62" s="149"/>
      <c r="C62" s="123"/>
      <c r="D62" s="133">
        <f t="shared" si="32"/>
        <v>11</v>
      </c>
      <c r="E62" s="133"/>
      <c r="H62" s="150"/>
      <c r="J62" s="167"/>
      <c r="K62" s="168"/>
      <c r="L62" s="169"/>
      <c r="M62" s="168"/>
      <c r="N62" s="172" t="s">
        <v>564</v>
      </c>
      <c r="O62" s="173"/>
      <c r="P62" s="100">
        <v>353</v>
      </c>
      <c r="Q62" s="143" t="s">
        <v>529</v>
      </c>
      <c r="R62" s="168">
        <f>P62/24</f>
        <v>14.708333333333334</v>
      </c>
      <c r="S62" s="168"/>
      <c r="T62" s="168"/>
      <c r="U62" s="168"/>
      <c r="V62" s="120"/>
      <c r="W62" s="749" t="s">
        <v>552</v>
      </c>
      <c r="X62" s="750"/>
      <c r="Y62" s="174">
        <f>IF(Y63="A1",AD58,IF(Y63="A2",AD59,IF(Y63="B1",AD60,IF(Y63="B2",AD61,IF(Y63="C1",AD62,IF(Y63="C2",AD63,IF(Y63="D",AD64,IF(Y63="E",AD65,))))))))</f>
        <v>0</v>
      </c>
      <c r="AA62" s="20" t="s">
        <v>565</v>
      </c>
      <c r="AB62" s="100">
        <v>0.65</v>
      </c>
      <c r="AC62" s="100">
        <v>0.65</v>
      </c>
      <c r="AD62" s="100">
        <v>0</v>
      </c>
      <c r="AE62" s="100">
        <v>0</v>
      </c>
      <c r="AF62" s="100">
        <f>(Y65/1000)-0.2</f>
        <v>0.60000000000000009</v>
      </c>
      <c r="AG62" s="170"/>
      <c r="AH62" s="100">
        <f>1.5*(Y65/1000)-0.45</f>
        <v>0.75000000000000022</v>
      </c>
      <c r="AI62" s="170"/>
      <c r="AJ62" s="100">
        <f>3.5*(Y65/1000)-2.45</f>
        <v>0.35000000000000009</v>
      </c>
      <c r="AK62" s="170"/>
    </row>
    <row r="63" spans="1:37">
      <c r="A63" s="171"/>
      <c r="B63" s="149"/>
      <c r="C63" s="123"/>
      <c r="D63" s="133">
        <f t="shared" si="32"/>
        <v>12</v>
      </c>
      <c r="E63" s="133"/>
      <c r="H63" s="150"/>
      <c r="J63" s="167"/>
      <c r="K63" s="168"/>
      <c r="L63" s="169"/>
      <c r="M63" s="168"/>
      <c r="N63" s="172" t="s">
        <v>566</v>
      </c>
      <c r="O63" s="173"/>
      <c r="P63" s="100">
        <v>414</v>
      </c>
      <c r="Q63" s="143" t="s">
        <v>529</v>
      </c>
      <c r="R63" s="168">
        <f>P63/26</f>
        <v>15.923076923076923</v>
      </c>
      <c r="S63" s="765" t="s">
        <v>689</v>
      </c>
      <c r="T63" s="766"/>
      <c r="U63" s="767"/>
      <c r="V63" s="120"/>
      <c r="W63" s="749" t="s">
        <v>550</v>
      </c>
      <c r="X63" s="750"/>
      <c r="Y63" s="101" t="str">
        <f>'Définition PERGOSOLAR'!M63</f>
        <v>E</v>
      </c>
      <c r="AA63" s="20" t="s">
        <v>567</v>
      </c>
      <c r="AB63" s="100">
        <v>0.65</v>
      </c>
      <c r="AC63" s="100">
        <v>0.65</v>
      </c>
      <c r="AD63" s="100">
        <v>1.35</v>
      </c>
      <c r="AE63" s="100">
        <v>1.35</v>
      </c>
      <c r="AF63" s="100">
        <f>(Y65/1000)-0.2</f>
        <v>0.60000000000000009</v>
      </c>
      <c r="AG63" s="170"/>
      <c r="AH63" s="100">
        <f>1.5*(Y65/1000)-0.45</f>
        <v>0.75000000000000022</v>
      </c>
      <c r="AI63" s="170"/>
      <c r="AJ63" s="100">
        <f>3.5*(Y65/1000)-2.45</f>
        <v>0.35000000000000009</v>
      </c>
      <c r="AK63" s="170"/>
    </row>
    <row r="64" spans="1:37">
      <c r="A64" s="171"/>
      <c r="B64" s="149"/>
      <c r="C64" s="123"/>
      <c r="D64" s="133">
        <f t="shared" si="32"/>
        <v>13</v>
      </c>
      <c r="E64" s="133"/>
      <c r="H64" s="150"/>
      <c r="J64" s="167"/>
      <c r="K64" s="168"/>
      <c r="L64" s="169"/>
      <c r="M64" s="168"/>
      <c r="N64" s="172" t="s">
        <v>568</v>
      </c>
      <c r="O64" s="173"/>
      <c r="P64" s="100">
        <v>480</v>
      </c>
      <c r="Q64" s="143" t="s">
        <v>529</v>
      </c>
      <c r="R64" s="168">
        <f>P64/28</f>
        <v>17.142857142857142</v>
      </c>
      <c r="S64" s="768"/>
      <c r="T64" s="769"/>
      <c r="U64" s="770"/>
      <c r="V64" s="120"/>
      <c r="W64" s="749" t="s">
        <v>569</v>
      </c>
      <c r="X64" s="750"/>
      <c r="Y64" s="176">
        <f>D102</f>
        <v>7.5</v>
      </c>
      <c r="AA64" s="20" t="s">
        <v>570</v>
      </c>
      <c r="AB64" s="100">
        <v>0.9</v>
      </c>
      <c r="AC64" s="100">
        <v>0.9</v>
      </c>
      <c r="AD64" s="100">
        <v>1.8</v>
      </c>
      <c r="AE64" s="100">
        <v>1.8</v>
      </c>
      <c r="AF64" s="100">
        <f>(Y65/1000)-0.2</f>
        <v>0.60000000000000009</v>
      </c>
      <c r="AG64" s="170"/>
      <c r="AH64" s="100">
        <f>1.5*(Y65/1000)-0.45</f>
        <v>0.75000000000000022</v>
      </c>
      <c r="AI64" s="170"/>
      <c r="AJ64" s="100">
        <f>3.5*(Y65/1000)-2.45</f>
        <v>0.35000000000000009</v>
      </c>
      <c r="AK64" s="170"/>
    </row>
    <row r="65" spans="1:37">
      <c r="A65" s="171"/>
      <c r="B65" s="149"/>
      <c r="C65" s="123"/>
      <c r="D65" s="133">
        <f t="shared" si="32"/>
        <v>14</v>
      </c>
      <c r="E65" s="133"/>
      <c r="H65" s="150"/>
      <c r="J65" s="167"/>
      <c r="K65" s="168"/>
      <c r="L65" s="169"/>
      <c r="M65" s="168"/>
      <c r="N65" s="172" t="s">
        <v>767</v>
      </c>
      <c r="O65" s="173"/>
      <c r="P65" s="100">
        <f>R65*30</f>
        <v>540</v>
      </c>
      <c r="Q65" s="143" t="s">
        <v>529</v>
      </c>
      <c r="R65" s="120">
        <v>18</v>
      </c>
      <c r="S65" s="745" t="s">
        <v>528</v>
      </c>
      <c r="T65" s="779">
        <f>IF(T51&gt;0,T51,T58)</f>
        <v>1232.28</v>
      </c>
      <c r="U65" s="748" t="s">
        <v>529</v>
      </c>
      <c r="V65" s="120"/>
      <c r="W65" s="780" t="s">
        <v>571</v>
      </c>
      <c r="X65" s="781"/>
      <c r="Y65" s="330">
        <f>P60</f>
        <v>800</v>
      </c>
      <c r="AA65" s="20" t="s">
        <v>572</v>
      </c>
      <c r="AB65" s="100">
        <v>1.4</v>
      </c>
      <c r="AC65" s="100">
        <v>1.4</v>
      </c>
      <c r="AD65" s="100">
        <v>0</v>
      </c>
      <c r="AE65" s="100">
        <v>0</v>
      </c>
      <c r="AF65" s="170"/>
      <c r="AG65" s="100">
        <f>(1.5*Y65/1000)-0.3</f>
        <v>0.89999999999999991</v>
      </c>
      <c r="AH65" s="170"/>
      <c r="AI65" s="100">
        <f>(3.5*Y65/1000)-1.3</f>
        <v>1.4999999999999998</v>
      </c>
      <c r="AJ65" s="170"/>
      <c r="AK65" s="100">
        <f>(7*Y65/1000)-4.8</f>
        <v>0.79999999999999982</v>
      </c>
    </row>
    <row r="66" spans="1:37">
      <c r="A66" s="171"/>
      <c r="B66" s="149"/>
      <c r="C66" s="123"/>
      <c r="D66" s="133">
        <f t="shared" si="32"/>
        <v>15</v>
      </c>
      <c r="E66" s="133"/>
      <c r="H66" s="150"/>
      <c r="J66" s="167"/>
      <c r="K66" s="168"/>
      <c r="L66" s="169"/>
      <c r="M66" s="168"/>
      <c r="N66" s="172" t="s">
        <v>768</v>
      </c>
      <c r="O66" s="173"/>
      <c r="P66" s="100">
        <f>R66*32</f>
        <v>608</v>
      </c>
      <c r="Q66" s="143" t="s">
        <v>529</v>
      </c>
      <c r="R66" s="168">
        <v>19</v>
      </c>
      <c r="S66" s="746"/>
      <c r="T66" s="779"/>
      <c r="U66" s="748"/>
      <c r="V66" s="120"/>
      <c r="W66" s="120"/>
      <c r="X66" s="120"/>
      <c r="Y66" s="120"/>
      <c r="AH66" s="120"/>
      <c r="AI66" s="120"/>
      <c r="AJ66" s="120"/>
      <c r="AK66" s="120"/>
    </row>
    <row r="67" spans="1:37">
      <c r="A67" s="171"/>
      <c r="B67" s="149"/>
      <c r="C67" s="123"/>
      <c r="D67" s="133">
        <f t="shared" si="32"/>
        <v>16</v>
      </c>
      <c r="E67" s="133"/>
      <c r="H67" s="150"/>
      <c r="J67" s="167"/>
      <c r="K67" s="168"/>
      <c r="L67" s="169"/>
      <c r="M67" s="168"/>
      <c r="N67" s="172" t="s">
        <v>769</v>
      </c>
      <c r="O67" s="173"/>
      <c r="P67" s="100">
        <f>R67*34</f>
        <v>680</v>
      </c>
      <c r="Q67" s="143" t="s">
        <v>529</v>
      </c>
      <c r="R67" s="168">
        <v>20</v>
      </c>
      <c r="S67" s="745" t="s">
        <v>537</v>
      </c>
      <c r="T67" s="779">
        <f>IF(T53&gt;0,T53,T60)</f>
        <v>1119.9999999999998</v>
      </c>
      <c r="U67" s="748" t="s">
        <v>529</v>
      </c>
      <c r="V67" s="120"/>
      <c r="W67" s="120"/>
      <c r="X67" s="120"/>
      <c r="Y67" s="120"/>
      <c r="AH67" s="120"/>
      <c r="AI67" s="120"/>
      <c r="AJ67" s="120"/>
      <c r="AK67" s="120"/>
    </row>
    <row r="68" spans="1:37">
      <c r="A68" s="171"/>
      <c r="B68" s="149"/>
      <c r="C68" s="123"/>
      <c r="D68" s="133">
        <f t="shared" si="32"/>
        <v>17</v>
      </c>
      <c r="E68" s="133"/>
      <c r="H68" s="150"/>
      <c r="J68" s="167"/>
      <c r="K68" s="168"/>
      <c r="L68" s="169"/>
      <c r="M68" s="168"/>
      <c r="N68" s="172" t="s">
        <v>770</v>
      </c>
      <c r="O68" s="173"/>
      <c r="P68" s="100">
        <f>R68*36</f>
        <v>756</v>
      </c>
      <c r="Q68" s="143" t="s">
        <v>529</v>
      </c>
      <c r="R68" s="168">
        <v>21</v>
      </c>
      <c r="S68" s="746"/>
      <c r="T68" s="779"/>
      <c r="U68" s="748"/>
      <c r="V68" s="120"/>
      <c r="W68" s="120"/>
      <c r="X68" s="120"/>
      <c r="Y68" s="120"/>
      <c r="AH68" s="120"/>
      <c r="AI68" s="120"/>
      <c r="AJ68" s="120"/>
      <c r="AK68" s="120"/>
    </row>
    <row r="69" spans="1:37">
      <c r="A69" s="171"/>
      <c r="B69" s="149"/>
      <c r="C69" s="123"/>
      <c r="D69" s="133">
        <f t="shared" si="32"/>
        <v>18</v>
      </c>
      <c r="E69" s="133"/>
      <c r="H69" s="150"/>
      <c r="J69" s="167"/>
      <c r="K69" s="168"/>
      <c r="L69" s="169"/>
      <c r="M69" s="168"/>
      <c r="R69" s="120"/>
      <c r="S69" s="120"/>
      <c r="T69" s="120"/>
      <c r="U69" s="168"/>
      <c r="V69" s="120"/>
      <c r="W69" s="120"/>
      <c r="X69" s="120"/>
      <c r="Y69" s="120"/>
      <c r="AH69" s="120"/>
      <c r="AI69" s="120"/>
      <c r="AJ69" s="120"/>
      <c r="AK69" s="120"/>
    </row>
    <row r="70" spans="1:37">
      <c r="A70" s="171"/>
      <c r="B70" s="149"/>
      <c r="C70" s="123"/>
      <c r="D70" s="133">
        <f t="shared" si="32"/>
        <v>19</v>
      </c>
      <c r="E70" s="133"/>
      <c r="H70" s="150"/>
      <c r="J70" s="167"/>
      <c r="K70" s="168"/>
      <c r="L70" s="169"/>
      <c r="M70" s="168"/>
      <c r="N70" s="147" t="s">
        <v>573</v>
      </c>
      <c r="O70" s="177"/>
      <c r="P70" s="142">
        <f>A62</f>
        <v>36</v>
      </c>
      <c r="Q70" s="143" t="s">
        <v>574</v>
      </c>
      <c r="R70" s="120"/>
      <c r="S70" s="168"/>
      <c r="T70" s="168"/>
      <c r="U70" s="168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</row>
    <row r="71" spans="1:37">
      <c r="A71" s="171"/>
      <c r="B71" s="149"/>
      <c r="C71" s="123"/>
      <c r="D71" s="133">
        <f t="shared" si="32"/>
        <v>20</v>
      </c>
      <c r="E71" s="133"/>
      <c r="H71" s="150"/>
      <c r="J71" s="167"/>
      <c r="K71" s="168"/>
      <c r="L71" s="169"/>
      <c r="M71" s="168"/>
      <c r="N71" s="172" t="s">
        <v>575</v>
      </c>
      <c r="O71" s="178"/>
      <c r="P71" s="100">
        <f>IF(P70=22,P61,IF(P70=24,P62,IF(P70=26,P63,IF(P70=28,P64,IF(P70=30,P65,IF(P70=32,P66,IF(P70=34,P67,IF(P70=36,P68,0))))))))</f>
        <v>756</v>
      </c>
      <c r="Q71" s="143" t="s">
        <v>529</v>
      </c>
      <c r="R71" s="168"/>
      <c r="S71" s="168"/>
      <c r="T71" s="168"/>
      <c r="U71" s="168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</row>
    <row r="72" spans="1:37">
      <c r="A72" s="171"/>
      <c r="B72" s="149"/>
      <c r="C72" s="123"/>
      <c r="D72" s="133">
        <f t="shared" si="32"/>
        <v>21</v>
      </c>
      <c r="E72" s="133"/>
      <c r="H72" s="150"/>
      <c r="J72" s="167"/>
      <c r="K72" s="168"/>
      <c r="L72" s="169"/>
      <c r="M72" s="168"/>
      <c r="N72" s="147" t="s">
        <v>514</v>
      </c>
      <c r="O72" s="161"/>
      <c r="P72" s="179" t="str">
        <f>'Définition PERGOSOLAR'!M61</f>
        <v>II</v>
      </c>
      <c r="Q72" s="120"/>
      <c r="R72" s="168"/>
      <c r="S72" s="168"/>
      <c r="T72" s="168"/>
      <c r="U72" s="168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</row>
    <row r="73" spans="1:37" ht="15.75">
      <c r="A73" s="171"/>
      <c r="B73" s="149"/>
      <c r="C73" s="123"/>
      <c r="D73" s="133">
        <f t="shared" si="32"/>
        <v>22</v>
      </c>
      <c r="E73" s="133"/>
      <c r="H73" s="150"/>
      <c r="J73" s="167"/>
      <c r="K73" s="168"/>
      <c r="L73" s="169"/>
      <c r="M73" s="168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334" t="s">
        <v>691</v>
      </c>
      <c r="AB73" s="335">
        <f>'Définition PERGOSOLAR'!M70</f>
        <v>1232.28</v>
      </c>
      <c r="AC73" s="97" t="str">
        <f>IF(AB73&lt;AH88,Traduction!A76,Traduction!A77)</f>
        <v>Charges OK</v>
      </c>
      <c r="AD73" s="2"/>
      <c r="AE73" s="832" t="s">
        <v>685</v>
      </c>
      <c r="AF73" s="835" t="s">
        <v>686</v>
      </c>
      <c r="AG73" s="120"/>
      <c r="AH73" s="120"/>
      <c r="AI73" s="120"/>
      <c r="AJ73" s="120"/>
      <c r="AK73" s="120"/>
    </row>
    <row r="74" spans="1:37" ht="16.5">
      <c r="A74" s="171"/>
      <c r="B74" s="149"/>
      <c r="C74" s="123"/>
      <c r="D74" s="133">
        <f t="shared" si="32"/>
        <v>23</v>
      </c>
      <c r="E74" s="133"/>
      <c r="H74" s="150"/>
      <c r="J74" s="167"/>
      <c r="K74" s="168"/>
      <c r="L74" s="169"/>
      <c r="M74" s="168"/>
      <c r="N74" s="172" t="s">
        <v>576</v>
      </c>
      <c r="O74" s="178"/>
      <c r="P74" s="100">
        <f>AA135</f>
        <v>1.63</v>
      </c>
      <c r="Q74" s="120"/>
      <c r="R74" s="120"/>
      <c r="S74" s="120"/>
      <c r="T74" s="120"/>
      <c r="U74" s="120"/>
      <c r="V74" s="181"/>
      <c r="W74" s="120"/>
      <c r="X74" s="120"/>
      <c r="Y74" s="120"/>
      <c r="Z74" s="120"/>
      <c r="AA74" s="334" t="s">
        <v>690</v>
      </c>
      <c r="AB74" s="335">
        <f>'Définition PERGOSOLAR'!M71</f>
        <v>1119.9999999999998</v>
      </c>
      <c r="AC74" s="120" t="str">
        <f>IF(AB74&lt;AG88,Traduction!A76,Traduction!A77)</f>
        <v>Charges OK</v>
      </c>
      <c r="AD74" s="2"/>
      <c r="AE74" s="833"/>
      <c r="AF74" s="836"/>
      <c r="AG74" s="120"/>
      <c r="AH74" s="120"/>
      <c r="AI74" s="120"/>
      <c r="AJ74" s="120"/>
      <c r="AK74" s="120"/>
    </row>
    <row r="75" spans="1:37" ht="15.75">
      <c r="A75" s="171"/>
      <c r="B75" s="149"/>
      <c r="C75" s="123"/>
      <c r="D75" s="133">
        <f t="shared" si="32"/>
        <v>24</v>
      </c>
      <c r="E75" s="133"/>
      <c r="H75" s="150"/>
      <c r="J75" s="167"/>
      <c r="K75" s="168"/>
      <c r="L75" s="169"/>
      <c r="M75" s="168"/>
      <c r="N75" s="147" t="s">
        <v>577</v>
      </c>
      <c r="O75" s="161"/>
      <c r="P75" s="180">
        <f>P71*P74</f>
        <v>1232.28</v>
      </c>
      <c r="Q75" s="143" t="s">
        <v>529</v>
      </c>
      <c r="R75" s="120"/>
      <c r="S75" s="120"/>
      <c r="T75" s="120"/>
      <c r="U75" s="120"/>
      <c r="V75" s="182"/>
      <c r="W75" s="120"/>
      <c r="X75" s="120"/>
      <c r="Y75" s="120"/>
      <c r="Z75" s="120"/>
      <c r="AA75" s="334" t="s">
        <v>692</v>
      </c>
      <c r="AB75" s="335" t="str">
        <f>'Définition PERGOSOLAR'!M69</f>
        <v>3x3 4 Pieds</v>
      </c>
      <c r="AC75" s="120"/>
      <c r="AD75" s="2"/>
      <c r="AE75" s="834"/>
      <c r="AF75" s="837"/>
      <c r="AG75" s="120"/>
      <c r="AH75" s="120"/>
      <c r="AI75" s="120"/>
      <c r="AJ75" s="120"/>
      <c r="AK75" s="120"/>
    </row>
    <row r="76" spans="1:37">
      <c r="A76" s="171"/>
      <c r="B76" s="149"/>
      <c r="C76" s="123"/>
      <c r="D76" s="133">
        <f t="shared" si="32"/>
        <v>25</v>
      </c>
      <c r="E76" s="133"/>
      <c r="H76" s="150"/>
      <c r="J76" s="175" t="str">
        <f>'Définition PERGOSOLAR'!M63</f>
        <v>E</v>
      </c>
      <c r="K76" s="168"/>
      <c r="L76" s="169"/>
      <c r="M76" s="168"/>
      <c r="N76" s="120"/>
      <c r="O76" s="120"/>
      <c r="P76" s="120"/>
      <c r="Q76" s="120"/>
      <c r="R76" s="120"/>
      <c r="S76" s="120"/>
      <c r="T76" s="120"/>
      <c r="U76" s="120"/>
      <c r="V76" s="183"/>
      <c r="W76" s="120"/>
      <c r="X76" s="120"/>
      <c r="Y76" s="120"/>
      <c r="Z76" s="120"/>
      <c r="AA76" s="120"/>
      <c r="AB76" s="120"/>
      <c r="AC76" s="120"/>
      <c r="AD76" s="329" t="s">
        <v>745</v>
      </c>
      <c r="AE76" s="333">
        <v>3500</v>
      </c>
      <c r="AF76" s="336">
        <v>2400</v>
      </c>
      <c r="AG76" s="100">
        <f>IF(AD76=$AB$75,AE76,0)</f>
        <v>0</v>
      </c>
      <c r="AH76" s="100">
        <f>IF(AD76=$AB$75,AF76,0)</f>
        <v>0</v>
      </c>
      <c r="AI76" s="120">
        <f>IF($AB$75=$AD76,1,0)</f>
        <v>0</v>
      </c>
      <c r="AJ76" s="120"/>
      <c r="AK76" s="120"/>
    </row>
    <row r="77" spans="1:37">
      <c r="A77" s="171"/>
      <c r="B77" s="149"/>
      <c r="C77" s="123"/>
      <c r="D77" s="133">
        <f t="shared" si="32"/>
        <v>26</v>
      </c>
      <c r="E77" s="133"/>
      <c r="H77" s="150"/>
      <c r="J77" s="133"/>
      <c r="K77" s="120"/>
      <c r="L77" s="150"/>
      <c r="M77" s="120"/>
      <c r="N77" s="120"/>
      <c r="O77" s="120"/>
      <c r="P77" s="120"/>
      <c r="Q77" s="120"/>
      <c r="R77" s="120"/>
      <c r="S77" s="120"/>
      <c r="T77" s="120"/>
      <c r="U77" s="120"/>
      <c r="V77" s="183"/>
      <c r="W77" s="120"/>
      <c r="X77" s="120"/>
      <c r="Y77" s="120"/>
      <c r="Z77" s="120"/>
      <c r="AA77" s="120"/>
      <c r="AB77" s="120"/>
      <c r="AC77" s="120"/>
      <c r="AD77" s="329" t="s">
        <v>746</v>
      </c>
      <c r="AE77" s="333">
        <v>3500</v>
      </c>
      <c r="AF77" s="336">
        <v>2400</v>
      </c>
      <c r="AG77" s="100">
        <f t="shared" ref="AG77:AG85" si="33">IF(AD77=$AB$75,AE77,0)</f>
        <v>0</v>
      </c>
      <c r="AH77" s="100">
        <f t="shared" ref="AH77:AH85" si="34">IF(AD77=$AB$75,AF77,0)</f>
        <v>0</v>
      </c>
      <c r="AI77" s="120"/>
      <c r="AJ77" s="120"/>
      <c r="AK77" s="120"/>
    </row>
    <row r="78" spans="1:37">
      <c r="A78" s="171"/>
      <c r="B78" s="149"/>
      <c r="C78" s="123"/>
      <c r="D78" s="133">
        <f t="shared" si="32"/>
        <v>27</v>
      </c>
      <c r="E78" s="133"/>
      <c r="H78" s="150"/>
      <c r="J78" s="133"/>
      <c r="K78" s="120"/>
      <c r="L78" s="150"/>
      <c r="M78" s="120"/>
      <c r="N78" s="120"/>
      <c r="O78" s="120"/>
      <c r="P78" s="120"/>
      <c r="Q78" s="120"/>
      <c r="R78" s="120"/>
      <c r="S78" s="120"/>
      <c r="T78" s="120"/>
      <c r="U78" s="120"/>
      <c r="V78" s="183"/>
      <c r="W78" s="120"/>
      <c r="X78" s="120"/>
      <c r="Y78" s="120"/>
      <c r="Z78" s="120"/>
      <c r="AA78" s="120"/>
      <c r="AB78" s="120"/>
      <c r="AC78" s="120"/>
      <c r="AD78" s="329" t="s">
        <v>748</v>
      </c>
      <c r="AE78" s="333">
        <v>3500</v>
      </c>
      <c r="AF78" s="336">
        <v>2400</v>
      </c>
      <c r="AG78" s="100">
        <f t="shared" si="33"/>
        <v>0</v>
      </c>
      <c r="AH78" s="100">
        <f t="shared" si="34"/>
        <v>0</v>
      </c>
      <c r="AI78" s="120">
        <f t="shared" ref="AI78:AI86" si="35">IF($AB$75=$AD78,1,0)</f>
        <v>0</v>
      </c>
      <c r="AJ78" s="120"/>
      <c r="AK78" s="120"/>
    </row>
    <row r="79" spans="1:37">
      <c r="A79" s="171"/>
      <c r="B79" s="149"/>
      <c r="C79" s="123"/>
      <c r="D79" s="133">
        <f t="shared" si="32"/>
        <v>28</v>
      </c>
      <c r="E79" s="133"/>
      <c r="H79" s="150"/>
      <c r="J79" s="133"/>
      <c r="K79" s="120"/>
      <c r="L79" s="150"/>
      <c r="M79" s="120"/>
      <c r="N79" s="183"/>
      <c r="O79" s="183"/>
      <c r="P79" s="183"/>
      <c r="Q79" s="183"/>
      <c r="R79" s="183"/>
      <c r="S79" s="183"/>
      <c r="T79" s="183"/>
      <c r="U79" s="183"/>
      <c r="V79" s="183"/>
      <c r="W79" s="120"/>
      <c r="X79" s="120"/>
      <c r="Y79" s="120"/>
      <c r="Z79" s="120"/>
      <c r="AA79" s="120"/>
      <c r="AB79" s="120"/>
      <c r="AC79" s="120"/>
      <c r="AD79" s="329" t="s">
        <v>747</v>
      </c>
      <c r="AE79" s="333">
        <v>3500</v>
      </c>
      <c r="AF79" s="336">
        <v>2400</v>
      </c>
      <c r="AG79" s="100">
        <f t="shared" si="33"/>
        <v>0</v>
      </c>
      <c r="AH79" s="100">
        <f t="shared" si="34"/>
        <v>0</v>
      </c>
      <c r="AI79" s="120"/>
      <c r="AJ79" s="120"/>
      <c r="AK79" s="120"/>
    </row>
    <row r="80" spans="1:37">
      <c r="A80" s="171"/>
      <c r="B80" s="149"/>
      <c r="C80" s="123"/>
      <c r="D80" s="133">
        <f t="shared" si="32"/>
        <v>29</v>
      </c>
      <c r="E80" s="133"/>
      <c r="H80" s="150"/>
      <c r="J80" s="133"/>
      <c r="K80" s="120"/>
      <c r="L80" s="150"/>
      <c r="M80" s="120"/>
      <c r="N80" s="183"/>
      <c r="O80" s="183"/>
      <c r="P80" s="183"/>
      <c r="Q80" s="183"/>
      <c r="R80" s="183"/>
      <c r="S80" s="183"/>
      <c r="T80" s="183"/>
      <c r="U80" s="183"/>
      <c r="V80" s="120"/>
      <c r="W80" s="120"/>
      <c r="X80" s="120"/>
      <c r="Y80" s="120"/>
      <c r="Z80" s="120"/>
      <c r="AA80" s="120"/>
      <c r="AB80" s="120"/>
      <c r="AC80" s="120"/>
      <c r="AD80" s="329" t="s">
        <v>749</v>
      </c>
      <c r="AE80" s="333">
        <v>3500</v>
      </c>
      <c r="AF80" s="336">
        <v>2400</v>
      </c>
      <c r="AG80" s="100">
        <f t="shared" si="33"/>
        <v>0</v>
      </c>
      <c r="AH80" s="100">
        <f t="shared" si="34"/>
        <v>0</v>
      </c>
      <c r="AI80" s="120">
        <f t="shared" si="35"/>
        <v>0</v>
      </c>
      <c r="AJ80" s="120"/>
      <c r="AK80" s="120"/>
    </row>
    <row r="81" spans="1:37">
      <c r="A81" s="171"/>
      <c r="B81" s="149"/>
      <c r="C81" s="123"/>
      <c r="D81" s="133">
        <f t="shared" si="32"/>
        <v>30</v>
      </c>
      <c r="E81" s="133"/>
      <c r="H81" s="184"/>
      <c r="J81" s="185"/>
      <c r="K81" s="183"/>
      <c r="L81" s="184"/>
      <c r="M81" s="183"/>
      <c r="N81" s="183"/>
      <c r="O81" s="183"/>
      <c r="P81" s="183"/>
      <c r="Q81" s="183"/>
      <c r="R81" s="183"/>
      <c r="S81" s="183"/>
      <c r="T81" s="183"/>
      <c r="U81" s="183"/>
      <c r="V81" s="120"/>
      <c r="W81" s="120"/>
      <c r="X81" s="120"/>
      <c r="Y81" s="120"/>
      <c r="Z81" s="120"/>
      <c r="AA81" s="120"/>
      <c r="AB81" s="120"/>
      <c r="AC81" s="120"/>
      <c r="AD81" s="329" t="s">
        <v>750</v>
      </c>
      <c r="AE81" s="333">
        <v>3500</v>
      </c>
      <c r="AF81" s="336">
        <v>2400</v>
      </c>
      <c r="AG81" s="100">
        <f t="shared" si="33"/>
        <v>3500</v>
      </c>
      <c r="AH81" s="100">
        <f t="shared" si="34"/>
        <v>2400</v>
      </c>
      <c r="AI81" s="120"/>
      <c r="AJ81" s="120"/>
      <c r="AK81" s="120"/>
    </row>
    <row r="82" spans="1:37">
      <c r="A82" s="171"/>
      <c r="B82" s="149"/>
      <c r="C82" s="123"/>
      <c r="D82" s="133">
        <f t="shared" si="32"/>
        <v>31</v>
      </c>
      <c r="E82" s="133"/>
      <c r="H82" s="184"/>
      <c r="J82" s="185"/>
      <c r="K82" s="183"/>
      <c r="L82" s="184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  <c r="AD82" s="329" t="s">
        <v>752</v>
      </c>
      <c r="AE82" s="333">
        <v>3500</v>
      </c>
      <c r="AF82" s="336">
        <v>2400</v>
      </c>
      <c r="AG82" s="100">
        <f t="shared" si="33"/>
        <v>0</v>
      </c>
      <c r="AH82" s="100">
        <f t="shared" si="34"/>
        <v>0</v>
      </c>
      <c r="AI82" s="120">
        <f t="shared" si="35"/>
        <v>0</v>
      </c>
      <c r="AJ82" s="120"/>
      <c r="AK82" s="120"/>
    </row>
    <row r="83" spans="1:37">
      <c r="A83" s="171"/>
      <c r="B83" s="149"/>
      <c r="C83" s="123"/>
      <c r="D83" s="133">
        <f t="shared" si="32"/>
        <v>32</v>
      </c>
      <c r="E83" s="133"/>
      <c r="H83" s="186"/>
      <c r="J83" s="187"/>
      <c r="K83" s="182"/>
      <c r="L83" s="186"/>
      <c r="M83" s="182"/>
      <c r="N83" s="188" t="s">
        <v>584</v>
      </c>
      <c r="O83" s="189"/>
      <c r="P83" s="190"/>
      <c r="Q83" s="789" t="s">
        <v>585</v>
      </c>
      <c r="R83" s="790"/>
      <c r="S83" s="790"/>
      <c r="T83" s="790"/>
      <c r="U83" s="791"/>
      <c r="V83" s="182"/>
      <c r="W83" s="182"/>
      <c r="X83" s="182"/>
      <c r="Y83" s="182"/>
      <c r="Z83" s="182"/>
      <c r="AA83" s="182"/>
      <c r="AB83" s="182"/>
      <c r="AC83" s="182"/>
      <c r="AD83" s="329" t="s">
        <v>751</v>
      </c>
      <c r="AE83" s="333">
        <v>3500</v>
      </c>
      <c r="AF83" s="336">
        <v>2400</v>
      </c>
      <c r="AG83" s="100">
        <f t="shared" si="33"/>
        <v>0</v>
      </c>
      <c r="AH83" s="100">
        <f t="shared" si="34"/>
        <v>0</v>
      </c>
      <c r="AI83" s="120"/>
      <c r="AJ83" s="120"/>
      <c r="AK83" s="120"/>
    </row>
    <row r="84" spans="1:37" ht="18">
      <c r="A84" s="171"/>
      <c r="B84" s="149"/>
      <c r="C84" s="123"/>
      <c r="D84" s="133">
        <f t="shared" si="32"/>
        <v>33</v>
      </c>
      <c r="E84" s="133"/>
      <c r="H84" s="191"/>
      <c r="J84" s="192"/>
      <c r="K84" s="193"/>
      <c r="L84" s="191"/>
      <c r="M84" s="193"/>
      <c r="N84" s="194"/>
      <c r="O84" s="195"/>
      <c r="P84" s="196"/>
      <c r="Q84" s="197">
        <v>0</v>
      </c>
      <c r="R84" s="197" t="s">
        <v>533</v>
      </c>
      <c r="S84" s="197" t="s">
        <v>535</v>
      </c>
      <c r="T84" s="197" t="s">
        <v>471</v>
      </c>
      <c r="U84" s="197" t="s">
        <v>541</v>
      </c>
      <c r="V84" s="792" t="s">
        <v>586</v>
      </c>
      <c r="W84" s="793"/>
      <c r="X84" s="793"/>
      <c r="Y84" s="793"/>
      <c r="Z84" s="793"/>
      <c r="AA84" s="193"/>
      <c r="AB84" s="193"/>
      <c r="AC84" s="193"/>
      <c r="AD84" s="329" t="s">
        <v>753</v>
      </c>
      <c r="AE84" s="333">
        <v>3500</v>
      </c>
      <c r="AF84" s="336">
        <v>2400</v>
      </c>
      <c r="AG84" s="100">
        <f t="shared" si="33"/>
        <v>0</v>
      </c>
      <c r="AH84" s="100">
        <f t="shared" si="34"/>
        <v>0</v>
      </c>
      <c r="AI84" s="120">
        <f t="shared" si="35"/>
        <v>0</v>
      </c>
      <c r="AJ84" s="120"/>
      <c r="AK84" s="120"/>
    </row>
    <row r="85" spans="1:37">
      <c r="A85" s="171"/>
      <c r="B85" s="149"/>
      <c r="C85" s="123"/>
      <c r="D85" s="133">
        <f t="shared" si="32"/>
        <v>34</v>
      </c>
      <c r="E85" s="133"/>
      <c r="H85" s="186"/>
      <c r="J85" s="187"/>
      <c r="K85" s="182"/>
      <c r="L85" s="186"/>
      <c r="M85" s="182"/>
      <c r="N85" s="794" t="s">
        <v>587</v>
      </c>
      <c r="O85" s="198"/>
      <c r="P85" s="199">
        <v>1</v>
      </c>
      <c r="Q85" s="200">
        <v>1.7</v>
      </c>
      <c r="R85" s="200">
        <v>1.42</v>
      </c>
      <c r="S85" s="200">
        <v>1.41</v>
      </c>
      <c r="T85" s="200">
        <v>1.35</v>
      </c>
      <c r="U85" s="200">
        <v>1.29</v>
      </c>
      <c r="V85" s="100">
        <f t="shared" ref="V85:V116" si="36">IF(P85=$U$9,Q85,0)</f>
        <v>0</v>
      </c>
      <c r="W85" s="100">
        <f t="shared" ref="W85:W116" si="37">IF(P85=$U$9,R85,0)</f>
        <v>0</v>
      </c>
      <c r="X85" s="100">
        <f t="shared" ref="X85:X116" si="38">IF(P85=$U$9,S85,0)</f>
        <v>0</v>
      </c>
      <c r="Y85" s="100">
        <f t="shared" ref="Y85:Y116" si="39">IF(P85=$U$9,T85,0)</f>
        <v>0</v>
      </c>
      <c r="Z85" s="100">
        <f t="shared" ref="Z85:Z116" si="40">IF(P85=$U$9,U85,0)</f>
        <v>0</v>
      </c>
      <c r="AA85" s="182"/>
      <c r="AB85" s="182"/>
      <c r="AC85" s="182"/>
      <c r="AD85" s="329" t="s">
        <v>754</v>
      </c>
      <c r="AE85" s="333">
        <v>3500</v>
      </c>
      <c r="AF85" s="336">
        <v>2400</v>
      </c>
      <c r="AG85" s="100">
        <f t="shared" si="33"/>
        <v>0</v>
      </c>
      <c r="AH85" s="100">
        <f t="shared" si="34"/>
        <v>0</v>
      </c>
      <c r="AI85" s="120"/>
      <c r="AJ85" s="120"/>
      <c r="AK85" s="120"/>
    </row>
    <row r="86" spans="1:37">
      <c r="A86" s="171"/>
      <c r="B86" s="149"/>
      <c r="C86" s="123"/>
      <c r="D86" s="133">
        <f t="shared" si="32"/>
        <v>35</v>
      </c>
      <c r="E86" s="133"/>
      <c r="H86" s="184"/>
      <c r="J86" s="185"/>
      <c r="K86" s="183"/>
      <c r="L86" s="184"/>
      <c r="M86" s="183"/>
      <c r="N86" s="795"/>
      <c r="O86" s="201"/>
      <c r="P86" s="202">
        <v>2</v>
      </c>
      <c r="Q86" s="203">
        <v>2.04</v>
      </c>
      <c r="R86" s="203">
        <v>1.42</v>
      </c>
      <c r="S86" s="200">
        <v>1.41</v>
      </c>
      <c r="T86" s="200">
        <v>1.35</v>
      </c>
      <c r="U86" s="200">
        <v>1.29</v>
      </c>
      <c r="V86" s="100">
        <f t="shared" si="36"/>
        <v>0</v>
      </c>
      <c r="W86" s="100">
        <f t="shared" si="37"/>
        <v>0</v>
      </c>
      <c r="X86" s="100">
        <f t="shared" si="38"/>
        <v>0</v>
      </c>
      <c r="Y86" s="100">
        <f t="shared" si="39"/>
        <v>0</v>
      </c>
      <c r="Z86" s="100">
        <f t="shared" si="40"/>
        <v>0</v>
      </c>
      <c r="AA86" s="183"/>
      <c r="AB86" s="183"/>
      <c r="AC86" s="183"/>
      <c r="AD86" s="329" t="s">
        <v>1005</v>
      </c>
      <c r="AE86" s="333">
        <v>3500</v>
      </c>
      <c r="AF86" s="336">
        <v>2400</v>
      </c>
      <c r="AG86" s="455">
        <f t="shared" ref="AG86:AG87" si="41">IF(AD86=$AB$75,AE86,0)</f>
        <v>0</v>
      </c>
      <c r="AH86" s="455">
        <f t="shared" ref="AH86:AH87" si="42">IF(AD86=$AB$75,AF86,0)</f>
        <v>0</v>
      </c>
      <c r="AI86" s="453">
        <f t="shared" si="35"/>
        <v>0</v>
      </c>
      <c r="AJ86" s="120"/>
      <c r="AK86" s="120"/>
    </row>
    <row r="87" spans="1:37" ht="16.5">
      <c r="A87" s="171"/>
      <c r="B87" s="149"/>
      <c r="C87" s="123"/>
      <c r="D87" s="133">
        <f t="shared" si="32"/>
        <v>36</v>
      </c>
      <c r="E87" s="133"/>
      <c r="H87" s="204"/>
      <c r="J87" s="205"/>
      <c r="K87" s="181"/>
      <c r="L87" s="204"/>
      <c r="M87" s="181"/>
      <c r="N87" s="795"/>
      <c r="O87" s="201"/>
      <c r="P87" s="202">
        <v>3</v>
      </c>
      <c r="Q87" s="203">
        <v>2.2400000000000002</v>
      </c>
      <c r="R87" s="203">
        <v>1.63</v>
      </c>
      <c r="S87" s="200">
        <v>1.41</v>
      </c>
      <c r="T87" s="200">
        <v>1.35</v>
      </c>
      <c r="U87" s="200">
        <v>1.29</v>
      </c>
      <c r="V87" s="100">
        <f t="shared" si="36"/>
        <v>2.2400000000000002</v>
      </c>
      <c r="W87" s="100">
        <f t="shared" si="37"/>
        <v>1.63</v>
      </c>
      <c r="X87" s="100">
        <f t="shared" si="38"/>
        <v>1.41</v>
      </c>
      <c r="Y87" s="100">
        <f t="shared" si="39"/>
        <v>1.35</v>
      </c>
      <c r="Z87" s="100">
        <f t="shared" si="40"/>
        <v>1.29</v>
      </c>
      <c r="AA87" s="181"/>
      <c r="AB87" s="181"/>
      <c r="AC87" s="181"/>
      <c r="AD87" s="329" t="s">
        <v>1006</v>
      </c>
      <c r="AE87" s="333">
        <v>3500</v>
      </c>
      <c r="AF87" s="336">
        <v>2400</v>
      </c>
      <c r="AG87" s="455">
        <f t="shared" si="41"/>
        <v>0</v>
      </c>
      <c r="AH87" s="455">
        <f t="shared" si="42"/>
        <v>0</v>
      </c>
      <c r="AI87" s="453"/>
      <c r="AJ87" s="120"/>
      <c r="AK87" s="120"/>
    </row>
    <row r="88" spans="1:37" ht="16.5">
      <c r="A88" s="171"/>
      <c r="B88" s="149"/>
      <c r="C88" s="123"/>
      <c r="D88" s="133">
        <f t="shared" si="32"/>
        <v>37</v>
      </c>
      <c r="E88" s="133"/>
      <c r="H88" s="204"/>
      <c r="J88" s="205"/>
      <c r="K88" s="181"/>
      <c r="L88" s="204"/>
      <c r="M88" s="181"/>
      <c r="N88" s="795"/>
      <c r="O88" s="201"/>
      <c r="P88" s="202">
        <v>4</v>
      </c>
      <c r="Q88" s="203">
        <v>2.39</v>
      </c>
      <c r="R88" s="203">
        <v>1.9</v>
      </c>
      <c r="S88" s="200">
        <v>1.41</v>
      </c>
      <c r="T88" s="200">
        <v>1.35</v>
      </c>
      <c r="U88" s="200">
        <v>1.29</v>
      </c>
      <c r="V88" s="100">
        <f t="shared" si="36"/>
        <v>0</v>
      </c>
      <c r="W88" s="100">
        <f t="shared" si="37"/>
        <v>0</v>
      </c>
      <c r="X88" s="100">
        <f t="shared" si="38"/>
        <v>0</v>
      </c>
      <c r="Y88" s="100">
        <f t="shared" si="39"/>
        <v>0</v>
      </c>
      <c r="Z88" s="100">
        <f t="shared" si="40"/>
        <v>0</v>
      </c>
      <c r="AA88" s="181"/>
      <c r="AB88" s="181"/>
      <c r="AC88" s="181"/>
      <c r="AD88" s="120"/>
      <c r="AE88" s="120"/>
      <c r="AF88" s="120"/>
      <c r="AG88" s="100">
        <f>SUM(AG76:AG87)</f>
        <v>3500</v>
      </c>
      <c r="AH88" s="100">
        <f>SUM(AH76:AH87)</f>
        <v>2400</v>
      </c>
      <c r="AI88" s="100">
        <f>SUM(AI76:AI87)</f>
        <v>0</v>
      </c>
      <c r="AJ88" s="120"/>
      <c r="AK88" s="120"/>
    </row>
    <row r="89" spans="1:37" ht="16.5">
      <c r="A89" s="171"/>
      <c r="B89" s="149"/>
      <c r="C89" s="123"/>
      <c r="D89" s="133">
        <f t="shared" si="32"/>
        <v>38</v>
      </c>
      <c r="E89" s="133"/>
      <c r="H89" s="204"/>
      <c r="J89" s="205"/>
      <c r="K89" s="181"/>
      <c r="L89" s="204"/>
      <c r="M89" s="181"/>
      <c r="N89" s="795"/>
      <c r="O89" s="201"/>
      <c r="P89" s="202">
        <v>5</v>
      </c>
      <c r="Q89" s="203">
        <v>2.5099999999999998</v>
      </c>
      <c r="R89" s="203">
        <v>1.92</v>
      </c>
      <c r="S89" s="200">
        <v>1.41</v>
      </c>
      <c r="T89" s="200">
        <v>1.35</v>
      </c>
      <c r="U89" s="200">
        <v>1.29</v>
      </c>
      <c r="V89" s="100">
        <f t="shared" si="36"/>
        <v>0</v>
      </c>
      <c r="W89" s="100">
        <f t="shared" si="37"/>
        <v>0</v>
      </c>
      <c r="X89" s="100">
        <f t="shared" si="38"/>
        <v>0</v>
      </c>
      <c r="Y89" s="100">
        <f t="shared" si="39"/>
        <v>0</v>
      </c>
      <c r="Z89" s="100">
        <f t="shared" si="40"/>
        <v>0</v>
      </c>
      <c r="AA89" s="181"/>
      <c r="AB89" s="181"/>
      <c r="AC89" s="181"/>
      <c r="AD89" s="120"/>
      <c r="AE89" s="120"/>
      <c r="AF89" s="120"/>
      <c r="AG89" s="120"/>
      <c r="AH89" s="120"/>
      <c r="AI89" s="120"/>
      <c r="AJ89" s="120"/>
      <c r="AK89" s="120"/>
    </row>
    <row r="90" spans="1:37" ht="16.5">
      <c r="A90" s="171"/>
      <c r="B90" s="149"/>
      <c r="C90" s="123"/>
      <c r="D90" s="133">
        <f t="shared" si="32"/>
        <v>39</v>
      </c>
      <c r="E90" s="133"/>
      <c r="H90" s="204"/>
      <c r="J90" s="205"/>
      <c r="K90" s="181"/>
      <c r="L90" s="204"/>
      <c r="M90" s="181"/>
      <c r="N90" s="795"/>
      <c r="O90" s="201"/>
      <c r="P90" s="202">
        <v>6</v>
      </c>
      <c r="Q90" s="203">
        <v>2.61</v>
      </c>
      <c r="R90" s="203">
        <v>2.0299999999999998</v>
      </c>
      <c r="S90" s="203">
        <v>1.52</v>
      </c>
      <c r="T90" s="200">
        <v>1.35</v>
      </c>
      <c r="U90" s="200">
        <v>1.29</v>
      </c>
      <c r="V90" s="100">
        <f t="shared" si="36"/>
        <v>0</v>
      </c>
      <c r="W90" s="100">
        <f t="shared" si="37"/>
        <v>0</v>
      </c>
      <c r="X90" s="100">
        <f t="shared" si="38"/>
        <v>0</v>
      </c>
      <c r="Y90" s="100">
        <f t="shared" si="39"/>
        <v>0</v>
      </c>
      <c r="Z90" s="100">
        <f t="shared" si="40"/>
        <v>0</v>
      </c>
      <c r="AA90" s="181"/>
      <c r="AB90" s="181"/>
      <c r="AC90" s="181"/>
      <c r="AD90" s="120"/>
      <c r="AE90" s="120"/>
      <c r="AF90" s="120"/>
      <c r="AG90" s="120"/>
      <c r="AH90" s="120"/>
      <c r="AI90" s="120"/>
      <c r="AJ90" s="120"/>
      <c r="AK90" s="120"/>
    </row>
    <row r="91" spans="1:37">
      <c r="A91" s="171"/>
      <c r="B91" s="149"/>
      <c r="C91" s="123"/>
      <c r="D91" s="133">
        <f t="shared" si="32"/>
        <v>40</v>
      </c>
      <c r="E91" s="133"/>
      <c r="H91" s="186"/>
      <c r="J91" s="187"/>
      <c r="K91" s="182"/>
      <c r="L91" s="186"/>
      <c r="M91" s="182"/>
      <c r="N91" s="795"/>
      <c r="O91" s="201"/>
      <c r="P91" s="202">
        <v>7</v>
      </c>
      <c r="Q91" s="200">
        <v>2.7</v>
      </c>
      <c r="R91" s="200">
        <v>2.12</v>
      </c>
      <c r="S91" s="200">
        <v>1.61</v>
      </c>
      <c r="T91" s="200">
        <v>1.35</v>
      </c>
      <c r="U91" s="200">
        <v>1.29</v>
      </c>
      <c r="V91" s="100">
        <f t="shared" si="36"/>
        <v>0</v>
      </c>
      <c r="W91" s="100">
        <f t="shared" si="37"/>
        <v>0</v>
      </c>
      <c r="X91" s="100">
        <f t="shared" si="38"/>
        <v>0</v>
      </c>
      <c r="Y91" s="100">
        <f t="shared" si="39"/>
        <v>0</v>
      </c>
      <c r="Z91" s="100">
        <f t="shared" si="40"/>
        <v>0</v>
      </c>
      <c r="AA91" s="182"/>
      <c r="AB91" s="182"/>
      <c r="AC91" s="182"/>
      <c r="AD91" s="120"/>
      <c r="AE91" s="120"/>
      <c r="AF91" s="120"/>
      <c r="AG91" s="120"/>
      <c r="AH91" s="120"/>
      <c r="AI91" s="120"/>
      <c r="AJ91" s="120"/>
      <c r="AK91" s="120"/>
    </row>
    <row r="92" spans="1:37" ht="16.5">
      <c r="A92" s="171"/>
      <c r="B92" s="175" t="str">
        <f>'Définition PERGOSOLAR'!M61</f>
        <v>II</v>
      </c>
      <c r="C92" s="123"/>
      <c r="D92" s="133">
        <f t="shared" si="32"/>
        <v>41</v>
      </c>
      <c r="E92" s="205"/>
      <c r="H92" s="204"/>
      <c r="J92" s="205"/>
      <c r="K92" s="181"/>
      <c r="L92" s="204"/>
      <c r="M92" s="181"/>
      <c r="N92" s="795"/>
      <c r="O92" s="201"/>
      <c r="P92" s="202">
        <v>8</v>
      </c>
      <c r="Q92" s="203">
        <v>2.77</v>
      </c>
      <c r="R92" s="203">
        <v>2.21</v>
      </c>
      <c r="S92" s="203">
        <v>1.69</v>
      </c>
      <c r="T92" s="200">
        <v>1.35</v>
      </c>
      <c r="U92" s="200">
        <v>1.29</v>
      </c>
      <c r="V92" s="100">
        <f t="shared" si="36"/>
        <v>0</v>
      </c>
      <c r="W92" s="100">
        <f t="shared" si="37"/>
        <v>0</v>
      </c>
      <c r="X92" s="100">
        <f t="shared" si="38"/>
        <v>0</v>
      </c>
      <c r="Y92" s="100">
        <f t="shared" si="39"/>
        <v>0</v>
      </c>
      <c r="Z92" s="100">
        <f t="shared" si="40"/>
        <v>0</v>
      </c>
      <c r="AA92" s="181"/>
      <c r="AB92" s="181"/>
      <c r="AC92" s="181"/>
      <c r="AD92" s="120"/>
      <c r="AE92" s="120"/>
      <c r="AF92" s="120"/>
      <c r="AG92" s="120"/>
      <c r="AH92" s="120"/>
      <c r="AI92" s="120"/>
      <c r="AJ92" s="120"/>
      <c r="AK92" s="120"/>
    </row>
    <row r="93" spans="1:37">
      <c r="A93" s="171"/>
      <c r="B93" s="149"/>
      <c r="C93" s="123"/>
      <c r="D93" s="133">
        <f t="shared" si="32"/>
        <v>42</v>
      </c>
      <c r="E93" s="133"/>
      <c r="H93" s="150"/>
      <c r="J93" s="133"/>
      <c r="K93" s="120"/>
      <c r="L93" s="150"/>
      <c r="M93" s="120"/>
      <c r="N93" s="795"/>
      <c r="O93" s="201"/>
      <c r="P93" s="202">
        <v>9</v>
      </c>
      <c r="Q93" s="206">
        <v>2.84</v>
      </c>
      <c r="R93" s="206">
        <v>2.2799999999999998</v>
      </c>
      <c r="S93" s="206">
        <v>1.77</v>
      </c>
      <c r="T93" s="200">
        <v>1.35</v>
      </c>
      <c r="U93" s="200">
        <v>1.29</v>
      </c>
      <c r="V93" s="100">
        <f t="shared" si="36"/>
        <v>0</v>
      </c>
      <c r="W93" s="100">
        <f t="shared" si="37"/>
        <v>0</v>
      </c>
      <c r="X93" s="100">
        <f t="shared" si="38"/>
        <v>0</v>
      </c>
      <c r="Y93" s="100">
        <f t="shared" si="39"/>
        <v>0</v>
      </c>
      <c r="Z93" s="100">
        <f t="shared" si="40"/>
        <v>0</v>
      </c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</row>
    <row r="94" spans="1:37">
      <c r="A94" s="171"/>
      <c r="B94" s="149"/>
      <c r="C94" s="123"/>
      <c r="D94" s="133">
        <f t="shared" si="32"/>
        <v>43</v>
      </c>
      <c r="E94" s="133"/>
      <c r="H94" s="150"/>
      <c r="J94" s="133"/>
      <c r="K94" s="120"/>
      <c r="L94" s="150"/>
      <c r="M94" s="120"/>
      <c r="N94" s="795"/>
      <c r="O94" s="201"/>
      <c r="P94" s="202">
        <v>10</v>
      </c>
      <c r="Q94" s="206">
        <v>2.9</v>
      </c>
      <c r="R94" s="206">
        <v>2.35</v>
      </c>
      <c r="S94" s="206">
        <v>1.84</v>
      </c>
      <c r="T94" s="200">
        <v>1.41</v>
      </c>
      <c r="U94" s="200">
        <v>1.29</v>
      </c>
      <c r="V94" s="100">
        <f t="shared" si="36"/>
        <v>0</v>
      </c>
      <c r="W94" s="100">
        <f t="shared" si="37"/>
        <v>0</v>
      </c>
      <c r="X94" s="100">
        <f t="shared" si="38"/>
        <v>0</v>
      </c>
      <c r="Y94" s="100">
        <f t="shared" si="39"/>
        <v>0</v>
      </c>
      <c r="Z94" s="100">
        <f t="shared" si="40"/>
        <v>0</v>
      </c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</row>
    <row r="95" spans="1:37">
      <c r="A95" s="171"/>
      <c r="B95" s="149"/>
      <c r="C95" s="123"/>
      <c r="D95" s="133">
        <f t="shared" si="32"/>
        <v>44</v>
      </c>
      <c r="E95" s="133"/>
      <c r="H95" s="150"/>
      <c r="J95" s="133"/>
      <c r="K95" s="120"/>
      <c r="L95" s="150"/>
      <c r="M95" s="120"/>
      <c r="N95" s="795"/>
      <c r="O95" s="201"/>
      <c r="P95" s="202">
        <v>11</v>
      </c>
      <c r="Q95" s="206">
        <v>2.96</v>
      </c>
      <c r="R95" s="206">
        <v>2.41</v>
      </c>
      <c r="S95" s="206">
        <v>1.9</v>
      </c>
      <c r="T95" s="200">
        <v>1.47</v>
      </c>
      <c r="U95" s="200">
        <v>1.29</v>
      </c>
      <c r="V95" s="100">
        <f t="shared" si="36"/>
        <v>0</v>
      </c>
      <c r="W95" s="100">
        <f t="shared" si="37"/>
        <v>0</v>
      </c>
      <c r="X95" s="100">
        <f t="shared" si="38"/>
        <v>0</v>
      </c>
      <c r="Y95" s="100">
        <f t="shared" si="39"/>
        <v>0</v>
      </c>
      <c r="Z95" s="100">
        <f t="shared" si="40"/>
        <v>0</v>
      </c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</row>
    <row r="96" spans="1:37">
      <c r="A96" s="171"/>
      <c r="B96" s="149"/>
      <c r="C96" s="123"/>
      <c r="D96" s="133">
        <f t="shared" si="32"/>
        <v>45</v>
      </c>
      <c r="E96" s="133"/>
      <c r="H96" s="150"/>
      <c r="J96" s="133"/>
      <c r="K96" s="120"/>
      <c r="L96" s="150"/>
      <c r="M96" s="120"/>
      <c r="N96" s="795"/>
      <c r="O96" s="201"/>
      <c r="P96" s="202">
        <v>12</v>
      </c>
      <c r="Q96" s="206">
        <v>3.01</v>
      </c>
      <c r="R96" s="206">
        <v>2.46</v>
      </c>
      <c r="S96" s="206">
        <v>1.95</v>
      </c>
      <c r="T96" s="200">
        <v>1.53</v>
      </c>
      <c r="U96" s="200">
        <v>1.29</v>
      </c>
      <c r="V96" s="100">
        <f t="shared" si="36"/>
        <v>0</v>
      </c>
      <c r="W96" s="100">
        <f t="shared" si="37"/>
        <v>0</v>
      </c>
      <c r="X96" s="100">
        <f t="shared" si="38"/>
        <v>0</v>
      </c>
      <c r="Y96" s="100">
        <f t="shared" si="39"/>
        <v>0</v>
      </c>
      <c r="Z96" s="100">
        <f t="shared" si="40"/>
        <v>0</v>
      </c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</row>
    <row r="97" spans="1:37">
      <c r="A97" s="171"/>
      <c r="B97" s="149"/>
      <c r="C97" s="123"/>
      <c r="D97" s="133">
        <f t="shared" si="32"/>
        <v>46</v>
      </c>
      <c r="E97" s="133"/>
      <c r="H97" s="150"/>
      <c r="J97" s="133"/>
      <c r="K97" s="120"/>
      <c r="L97" s="150"/>
      <c r="M97" s="120"/>
      <c r="N97" s="795"/>
      <c r="O97" s="201"/>
      <c r="P97" s="202">
        <v>13</v>
      </c>
      <c r="Q97" s="206">
        <v>3.06</v>
      </c>
      <c r="R97" s="206">
        <v>2.5099999999999998</v>
      </c>
      <c r="S97" s="206">
        <v>2.0099999999999998</v>
      </c>
      <c r="T97" s="200">
        <v>1.58</v>
      </c>
      <c r="U97" s="200">
        <v>1.29</v>
      </c>
      <c r="V97" s="100">
        <f t="shared" si="36"/>
        <v>0</v>
      </c>
      <c r="W97" s="100">
        <f t="shared" si="37"/>
        <v>0</v>
      </c>
      <c r="X97" s="100">
        <f t="shared" si="38"/>
        <v>0</v>
      </c>
      <c r="Y97" s="100">
        <f t="shared" si="39"/>
        <v>0</v>
      </c>
      <c r="Z97" s="100">
        <f t="shared" si="40"/>
        <v>0</v>
      </c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</row>
    <row r="98" spans="1:37">
      <c r="A98" s="171"/>
      <c r="B98" s="207"/>
      <c r="C98" s="123"/>
      <c r="D98" s="133">
        <f t="shared" si="32"/>
        <v>47</v>
      </c>
      <c r="E98" s="133"/>
      <c r="H98" s="150"/>
      <c r="J98" s="133"/>
      <c r="K98" s="120"/>
      <c r="L98" s="150"/>
      <c r="M98" s="120"/>
      <c r="N98" s="795"/>
      <c r="O98" s="201"/>
      <c r="P98" s="202">
        <v>14</v>
      </c>
      <c r="Q98" s="206">
        <v>3.1</v>
      </c>
      <c r="R98" s="206">
        <v>2.56</v>
      </c>
      <c r="S98" s="206">
        <v>2.06</v>
      </c>
      <c r="T98" s="200">
        <v>1.63</v>
      </c>
      <c r="U98" s="200">
        <v>1.29</v>
      </c>
      <c r="V98" s="100">
        <f t="shared" si="36"/>
        <v>0</v>
      </c>
      <c r="W98" s="100">
        <f t="shared" si="37"/>
        <v>0</v>
      </c>
      <c r="X98" s="100">
        <f t="shared" si="38"/>
        <v>0</v>
      </c>
      <c r="Y98" s="100">
        <f t="shared" si="39"/>
        <v>0</v>
      </c>
      <c r="Z98" s="100">
        <f t="shared" si="40"/>
        <v>0</v>
      </c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</row>
    <row r="99" spans="1:37">
      <c r="A99" s="171"/>
      <c r="B99" s="207"/>
      <c r="C99" s="123"/>
      <c r="D99" s="133">
        <f t="shared" si="32"/>
        <v>48</v>
      </c>
      <c r="E99" s="133"/>
      <c r="H99" s="150"/>
      <c r="J99" s="133"/>
      <c r="K99" s="120"/>
      <c r="L99" s="150"/>
      <c r="M99" s="120"/>
      <c r="N99" s="795"/>
      <c r="O99" s="201"/>
      <c r="P99" s="202">
        <v>15</v>
      </c>
      <c r="Q99" s="206">
        <v>3.14</v>
      </c>
      <c r="R99" s="206">
        <v>2.61</v>
      </c>
      <c r="S99" s="206">
        <v>2.1</v>
      </c>
      <c r="T99" s="200">
        <v>1.67</v>
      </c>
      <c r="U99" s="200">
        <v>1.29</v>
      </c>
      <c r="V99" s="100">
        <f t="shared" si="36"/>
        <v>0</v>
      </c>
      <c r="W99" s="100">
        <f t="shared" si="37"/>
        <v>0</v>
      </c>
      <c r="X99" s="100">
        <f t="shared" si="38"/>
        <v>0</v>
      </c>
      <c r="Y99" s="100">
        <f t="shared" si="39"/>
        <v>0</v>
      </c>
      <c r="Z99" s="100">
        <f t="shared" si="40"/>
        <v>0</v>
      </c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</row>
    <row r="100" spans="1:37">
      <c r="A100" s="171"/>
      <c r="B100" s="207"/>
      <c r="C100" s="123"/>
      <c r="D100" s="133">
        <f t="shared" si="32"/>
        <v>49</v>
      </c>
      <c r="E100" s="133"/>
      <c r="H100" s="150"/>
      <c r="J100" s="133"/>
      <c r="K100" s="120"/>
      <c r="L100" s="150"/>
      <c r="M100" s="120"/>
      <c r="N100" s="795"/>
      <c r="O100" s="201"/>
      <c r="P100" s="202">
        <v>16</v>
      </c>
      <c r="Q100" s="206">
        <v>3.18</v>
      </c>
      <c r="R100" s="206">
        <v>2.65</v>
      </c>
      <c r="S100" s="206">
        <v>2.15</v>
      </c>
      <c r="T100" s="200">
        <v>1.71</v>
      </c>
      <c r="U100" s="200">
        <v>1.33</v>
      </c>
      <c r="V100" s="100">
        <f t="shared" si="36"/>
        <v>0</v>
      </c>
      <c r="W100" s="100">
        <f t="shared" si="37"/>
        <v>0</v>
      </c>
      <c r="X100" s="100">
        <f t="shared" si="38"/>
        <v>0</v>
      </c>
      <c r="Y100" s="100">
        <f t="shared" si="39"/>
        <v>0</v>
      </c>
      <c r="Z100" s="100">
        <f t="shared" si="40"/>
        <v>0</v>
      </c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</row>
    <row r="101" spans="1:37">
      <c r="A101" s="171"/>
      <c r="B101" s="207"/>
      <c r="C101" s="123"/>
      <c r="D101" s="133">
        <f t="shared" si="32"/>
        <v>50</v>
      </c>
      <c r="E101" s="133"/>
      <c r="H101" s="150"/>
      <c r="J101" s="133"/>
      <c r="K101" s="120"/>
      <c r="L101" s="150"/>
      <c r="M101" s="120"/>
      <c r="N101" s="795"/>
      <c r="O101" s="201"/>
      <c r="P101" s="202">
        <v>17</v>
      </c>
      <c r="Q101" s="206">
        <v>3.22</v>
      </c>
      <c r="R101" s="206">
        <v>2.69</v>
      </c>
      <c r="S101" s="206">
        <v>2.19</v>
      </c>
      <c r="T101" s="200">
        <v>1.75</v>
      </c>
      <c r="U101" s="200">
        <v>1.37</v>
      </c>
      <c r="V101" s="100">
        <f t="shared" si="36"/>
        <v>0</v>
      </c>
      <c r="W101" s="100">
        <f t="shared" si="37"/>
        <v>0</v>
      </c>
      <c r="X101" s="100">
        <f t="shared" si="38"/>
        <v>0</v>
      </c>
      <c r="Y101" s="100">
        <f t="shared" si="39"/>
        <v>0</v>
      </c>
      <c r="Z101" s="100">
        <f t="shared" si="40"/>
        <v>0</v>
      </c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</row>
    <row r="102" spans="1:37">
      <c r="A102" s="171"/>
      <c r="B102" s="207"/>
      <c r="C102" s="123"/>
      <c r="D102" s="208">
        <f>7.5</f>
        <v>7.5</v>
      </c>
      <c r="E102" s="133"/>
      <c r="H102" s="150"/>
      <c r="J102" s="133"/>
      <c r="K102" s="120"/>
      <c r="L102" s="150"/>
      <c r="M102" s="120"/>
      <c r="N102" s="795"/>
      <c r="O102" s="201"/>
      <c r="P102" s="202">
        <v>18</v>
      </c>
      <c r="Q102" s="206">
        <v>3.25</v>
      </c>
      <c r="R102" s="206">
        <v>2.73</v>
      </c>
      <c r="S102" s="206">
        <v>2.23</v>
      </c>
      <c r="T102" s="200">
        <v>1.79</v>
      </c>
      <c r="U102" s="200">
        <v>1.41</v>
      </c>
      <c r="V102" s="100">
        <f t="shared" si="36"/>
        <v>0</v>
      </c>
      <c r="W102" s="100">
        <f t="shared" si="37"/>
        <v>0</v>
      </c>
      <c r="X102" s="100">
        <f t="shared" si="38"/>
        <v>0</v>
      </c>
      <c r="Y102" s="100">
        <f t="shared" si="39"/>
        <v>0</v>
      </c>
      <c r="Z102" s="100">
        <f t="shared" si="40"/>
        <v>0</v>
      </c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</row>
    <row r="103" spans="1:37">
      <c r="A103" s="171"/>
      <c r="B103" s="149"/>
      <c r="C103" s="123"/>
      <c r="D103" s="133"/>
      <c r="E103" s="133"/>
      <c r="H103" s="150"/>
      <c r="J103" s="133"/>
      <c r="K103" s="120"/>
      <c r="L103" s="150"/>
      <c r="M103" s="120"/>
      <c r="N103" s="795"/>
      <c r="O103" s="201"/>
      <c r="P103" s="202">
        <v>19</v>
      </c>
      <c r="Q103" s="206">
        <v>3.29</v>
      </c>
      <c r="R103" s="206">
        <v>2.77</v>
      </c>
      <c r="S103" s="206">
        <v>2.2599999999999998</v>
      </c>
      <c r="T103" s="200">
        <v>1.83</v>
      </c>
      <c r="U103" s="200">
        <v>1.44</v>
      </c>
      <c r="V103" s="100">
        <f t="shared" si="36"/>
        <v>0</v>
      </c>
      <c r="W103" s="100">
        <f t="shared" si="37"/>
        <v>0</v>
      </c>
      <c r="X103" s="100">
        <f t="shared" si="38"/>
        <v>0</v>
      </c>
      <c r="Y103" s="100">
        <f t="shared" si="39"/>
        <v>0</v>
      </c>
      <c r="Z103" s="100">
        <f t="shared" si="40"/>
        <v>0</v>
      </c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</row>
    <row r="104" spans="1:37">
      <c r="A104" s="171"/>
      <c r="B104" s="149"/>
      <c r="C104" s="123"/>
      <c r="D104" s="133"/>
      <c r="E104" s="133"/>
      <c r="H104" s="150"/>
      <c r="J104" s="133"/>
      <c r="K104" s="120"/>
      <c r="L104" s="150"/>
      <c r="M104" s="120"/>
      <c r="N104" s="795"/>
      <c r="O104" s="201"/>
      <c r="P104" s="202">
        <v>20</v>
      </c>
      <c r="Q104" s="206">
        <v>3.32</v>
      </c>
      <c r="R104" s="206">
        <v>2.8</v>
      </c>
      <c r="S104" s="206">
        <v>2.2999999999999998</v>
      </c>
      <c r="T104" s="200">
        <v>1.87</v>
      </c>
      <c r="U104" s="200">
        <v>1.48</v>
      </c>
      <c r="V104" s="100">
        <f t="shared" si="36"/>
        <v>0</v>
      </c>
      <c r="W104" s="100">
        <f t="shared" si="37"/>
        <v>0</v>
      </c>
      <c r="X104" s="100">
        <f t="shared" si="38"/>
        <v>0</v>
      </c>
      <c r="Y104" s="100">
        <f t="shared" si="39"/>
        <v>0</v>
      </c>
      <c r="Z104" s="100">
        <f t="shared" si="40"/>
        <v>0</v>
      </c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</row>
    <row r="105" spans="1:37">
      <c r="A105" s="171"/>
      <c r="B105" s="149"/>
      <c r="C105" s="123"/>
      <c r="D105" s="133"/>
      <c r="E105" s="133"/>
      <c r="H105" s="150"/>
      <c r="J105" s="133"/>
      <c r="K105" s="120"/>
      <c r="L105" s="150"/>
      <c r="M105" s="120"/>
      <c r="N105" s="795"/>
      <c r="O105" s="201"/>
      <c r="P105" s="202">
        <f t="shared" ref="P105:P134" si="43">P104+1</f>
        <v>21</v>
      </c>
      <c r="Q105" s="206">
        <v>3.35</v>
      </c>
      <c r="R105" s="206">
        <v>2.84</v>
      </c>
      <c r="S105" s="206">
        <v>2.33</v>
      </c>
      <c r="T105" s="200">
        <v>1.9</v>
      </c>
      <c r="U105" s="200">
        <v>1.51</v>
      </c>
      <c r="V105" s="100">
        <f t="shared" si="36"/>
        <v>0</v>
      </c>
      <c r="W105" s="100">
        <f t="shared" si="37"/>
        <v>0</v>
      </c>
      <c r="X105" s="100">
        <f t="shared" si="38"/>
        <v>0</v>
      </c>
      <c r="Y105" s="100">
        <f t="shared" si="39"/>
        <v>0</v>
      </c>
      <c r="Z105" s="100">
        <f t="shared" si="40"/>
        <v>0</v>
      </c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</row>
    <row r="106" spans="1:37">
      <c r="A106" s="171"/>
      <c r="B106" s="149"/>
      <c r="C106" s="123"/>
      <c r="D106" s="133"/>
      <c r="E106" s="133"/>
      <c r="H106" s="150"/>
      <c r="J106" s="133"/>
      <c r="K106" s="120"/>
      <c r="L106" s="150"/>
      <c r="M106" s="120"/>
      <c r="N106" s="795"/>
      <c r="O106" s="201"/>
      <c r="P106" s="202">
        <f t="shared" si="43"/>
        <v>22</v>
      </c>
      <c r="Q106" s="206">
        <v>3.38</v>
      </c>
      <c r="R106" s="206">
        <v>2.87</v>
      </c>
      <c r="S106" s="206">
        <v>2.37</v>
      </c>
      <c r="T106" s="200">
        <v>1.93</v>
      </c>
      <c r="U106" s="200">
        <v>1.54</v>
      </c>
      <c r="V106" s="100">
        <f t="shared" si="36"/>
        <v>0</v>
      </c>
      <c r="W106" s="100">
        <f t="shared" si="37"/>
        <v>0</v>
      </c>
      <c r="X106" s="100">
        <f t="shared" si="38"/>
        <v>0</v>
      </c>
      <c r="Y106" s="100">
        <f t="shared" si="39"/>
        <v>0</v>
      </c>
      <c r="Z106" s="100">
        <f t="shared" si="40"/>
        <v>0</v>
      </c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</row>
    <row r="107" spans="1:37">
      <c r="A107" s="171"/>
      <c r="B107" s="149"/>
      <c r="C107" s="123"/>
      <c r="D107" s="133"/>
      <c r="E107" s="133"/>
      <c r="H107" s="150"/>
      <c r="J107" s="133"/>
      <c r="K107" s="120"/>
      <c r="L107" s="150"/>
      <c r="M107" s="120"/>
      <c r="N107" s="795"/>
      <c r="O107" s="201"/>
      <c r="P107" s="202">
        <f t="shared" si="43"/>
        <v>23</v>
      </c>
      <c r="Q107" s="206">
        <v>3.4</v>
      </c>
      <c r="R107" s="206">
        <v>2.9</v>
      </c>
      <c r="S107" s="206">
        <v>2.4</v>
      </c>
      <c r="T107" s="200">
        <v>1.96</v>
      </c>
      <c r="U107" s="200">
        <v>1.57</v>
      </c>
      <c r="V107" s="100">
        <f t="shared" si="36"/>
        <v>0</v>
      </c>
      <c r="W107" s="100">
        <f t="shared" si="37"/>
        <v>0</v>
      </c>
      <c r="X107" s="100">
        <f t="shared" si="38"/>
        <v>0</v>
      </c>
      <c r="Y107" s="100">
        <f t="shared" si="39"/>
        <v>0</v>
      </c>
      <c r="Z107" s="100">
        <f t="shared" si="40"/>
        <v>0</v>
      </c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</row>
    <row r="108" spans="1:37">
      <c r="A108" s="171"/>
      <c r="B108" s="149"/>
      <c r="C108" s="123"/>
      <c r="D108" s="120"/>
      <c r="E108" s="133"/>
      <c r="H108" s="150"/>
      <c r="J108" s="133"/>
      <c r="K108" s="120"/>
      <c r="L108" s="150"/>
      <c r="M108" s="120"/>
      <c r="N108" s="795"/>
      <c r="O108" s="201"/>
      <c r="P108" s="202">
        <f t="shared" si="43"/>
        <v>24</v>
      </c>
      <c r="Q108" s="206">
        <v>3.43</v>
      </c>
      <c r="R108" s="206">
        <v>2.93</v>
      </c>
      <c r="S108" s="206">
        <v>2.4300000000000002</v>
      </c>
      <c r="T108" s="200">
        <v>1.99</v>
      </c>
      <c r="U108" s="200">
        <v>1.6</v>
      </c>
      <c r="V108" s="100">
        <f t="shared" si="36"/>
        <v>0</v>
      </c>
      <c r="W108" s="100">
        <f t="shared" si="37"/>
        <v>0</v>
      </c>
      <c r="X108" s="100">
        <f t="shared" si="38"/>
        <v>0</v>
      </c>
      <c r="Y108" s="100">
        <f t="shared" si="39"/>
        <v>0</v>
      </c>
      <c r="Z108" s="100">
        <f t="shared" si="40"/>
        <v>0</v>
      </c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</row>
    <row r="109" spans="1:37">
      <c r="A109" s="171"/>
      <c r="B109" s="149"/>
      <c r="C109" s="123"/>
      <c r="D109" s="120"/>
      <c r="E109" s="133"/>
      <c r="H109" s="150"/>
      <c r="J109" s="133"/>
      <c r="K109" s="120"/>
      <c r="L109" s="150"/>
      <c r="M109" s="120"/>
      <c r="N109" s="795"/>
      <c r="O109" s="201"/>
      <c r="P109" s="202">
        <f t="shared" si="43"/>
        <v>25</v>
      </c>
      <c r="Q109" s="206">
        <v>3.46</v>
      </c>
      <c r="R109" s="206">
        <v>2.96</v>
      </c>
      <c r="S109" s="206">
        <v>2.46</v>
      </c>
      <c r="T109" s="200">
        <v>2.02</v>
      </c>
      <c r="U109" s="200">
        <v>1.63</v>
      </c>
      <c r="V109" s="100">
        <f t="shared" si="36"/>
        <v>0</v>
      </c>
      <c r="W109" s="100">
        <f t="shared" si="37"/>
        <v>0</v>
      </c>
      <c r="X109" s="100">
        <f t="shared" si="38"/>
        <v>0</v>
      </c>
      <c r="Y109" s="100">
        <f t="shared" si="39"/>
        <v>0</v>
      </c>
      <c r="Z109" s="100">
        <f t="shared" si="40"/>
        <v>0</v>
      </c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</row>
    <row r="110" spans="1:37">
      <c r="A110" s="171"/>
      <c r="B110" s="149"/>
      <c r="C110" s="123"/>
      <c r="D110" s="120"/>
      <c r="E110" s="133"/>
      <c r="H110" s="150"/>
      <c r="J110" s="133"/>
      <c r="K110" s="120"/>
      <c r="L110" s="150"/>
      <c r="M110" s="120"/>
      <c r="N110" s="795"/>
      <c r="O110" s="201"/>
      <c r="P110" s="202">
        <f t="shared" si="43"/>
        <v>26</v>
      </c>
      <c r="Q110" s="206">
        <v>3.48</v>
      </c>
      <c r="R110" s="206">
        <v>2.98</v>
      </c>
      <c r="S110" s="206">
        <v>2.4900000000000002</v>
      </c>
      <c r="T110" s="200">
        <v>2.0499999999999998</v>
      </c>
      <c r="U110" s="200">
        <v>1.65</v>
      </c>
      <c r="V110" s="100">
        <f t="shared" si="36"/>
        <v>0</v>
      </c>
      <c r="W110" s="100">
        <f t="shared" si="37"/>
        <v>0</v>
      </c>
      <c r="X110" s="100">
        <f t="shared" si="38"/>
        <v>0</v>
      </c>
      <c r="Y110" s="100">
        <f t="shared" si="39"/>
        <v>0</v>
      </c>
      <c r="Z110" s="100">
        <f t="shared" si="40"/>
        <v>0</v>
      </c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</row>
    <row r="111" spans="1:37">
      <c r="A111" s="171"/>
      <c r="B111" s="149"/>
      <c r="C111" s="123"/>
      <c r="D111" s="120"/>
      <c r="E111" s="133"/>
      <c r="H111" s="150"/>
      <c r="J111" s="133"/>
      <c r="K111" s="120"/>
      <c r="L111" s="150"/>
      <c r="M111" s="120"/>
      <c r="N111" s="795"/>
      <c r="O111" s="201"/>
      <c r="P111" s="202">
        <f t="shared" si="43"/>
        <v>27</v>
      </c>
      <c r="Q111" s="206">
        <v>3.5</v>
      </c>
      <c r="R111" s="206">
        <v>3.01</v>
      </c>
      <c r="S111" s="206">
        <v>2.52</v>
      </c>
      <c r="T111" s="200">
        <v>2.08</v>
      </c>
      <c r="U111" s="200">
        <v>1.68</v>
      </c>
      <c r="V111" s="100">
        <f t="shared" si="36"/>
        <v>0</v>
      </c>
      <c r="W111" s="100">
        <f t="shared" si="37"/>
        <v>0</v>
      </c>
      <c r="X111" s="100">
        <f t="shared" si="38"/>
        <v>0</v>
      </c>
      <c r="Y111" s="100">
        <f t="shared" si="39"/>
        <v>0</v>
      </c>
      <c r="Z111" s="100">
        <f t="shared" si="40"/>
        <v>0</v>
      </c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</row>
    <row r="112" spans="1:37">
      <c r="A112" s="171"/>
      <c r="B112" s="149"/>
      <c r="C112" s="123"/>
      <c r="D112" s="120"/>
      <c r="E112" s="133"/>
      <c r="H112" s="150"/>
      <c r="J112" s="133"/>
      <c r="K112" s="120"/>
      <c r="L112" s="150"/>
      <c r="M112" s="120"/>
      <c r="N112" s="795"/>
      <c r="O112" s="201"/>
      <c r="P112" s="202">
        <f t="shared" si="43"/>
        <v>28</v>
      </c>
      <c r="Q112" s="206">
        <v>3.53</v>
      </c>
      <c r="R112" s="206">
        <v>3.04</v>
      </c>
      <c r="S112" s="206">
        <v>2.54</v>
      </c>
      <c r="T112" s="200">
        <v>2.1</v>
      </c>
      <c r="U112" s="200">
        <v>1.7</v>
      </c>
      <c r="V112" s="100">
        <f t="shared" si="36"/>
        <v>0</v>
      </c>
      <c r="W112" s="100">
        <f t="shared" si="37"/>
        <v>0</v>
      </c>
      <c r="X112" s="100">
        <f t="shared" si="38"/>
        <v>0</v>
      </c>
      <c r="Y112" s="100">
        <f t="shared" si="39"/>
        <v>0</v>
      </c>
      <c r="Z112" s="100">
        <f t="shared" si="40"/>
        <v>0</v>
      </c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</row>
    <row r="113" spans="1:37">
      <c r="A113" s="171"/>
      <c r="B113" s="149"/>
      <c r="C113" s="123"/>
      <c r="D113" s="120"/>
      <c r="E113" s="133"/>
      <c r="H113" s="150"/>
      <c r="J113" s="133"/>
      <c r="K113" s="120"/>
      <c r="L113" s="150"/>
      <c r="M113" s="120"/>
      <c r="N113" s="795"/>
      <c r="O113" s="201"/>
      <c r="P113" s="202">
        <f t="shared" si="43"/>
        <v>29</v>
      </c>
      <c r="Q113" s="206">
        <v>3.55</v>
      </c>
      <c r="R113" s="206">
        <v>3.06</v>
      </c>
      <c r="S113" s="206">
        <v>2.57</v>
      </c>
      <c r="T113" s="200">
        <v>2.13</v>
      </c>
      <c r="U113" s="200">
        <v>1.73</v>
      </c>
      <c r="V113" s="100">
        <f t="shared" si="36"/>
        <v>0</v>
      </c>
      <c r="W113" s="100">
        <f t="shared" si="37"/>
        <v>0</v>
      </c>
      <c r="X113" s="100">
        <f t="shared" si="38"/>
        <v>0</v>
      </c>
      <c r="Y113" s="100">
        <f t="shared" si="39"/>
        <v>0</v>
      </c>
      <c r="Z113" s="100">
        <f t="shared" si="40"/>
        <v>0</v>
      </c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</row>
    <row r="114" spans="1:37">
      <c r="A114" s="171"/>
      <c r="B114" s="149"/>
      <c r="C114" s="123"/>
      <c r="D114" s="120"/>
      <c r="E114" s="133"/>
      <c r="H114" s="150"/>
      <c r="J114" s="133"/>
      <c r="K114" s="120"/>
      <c r="L114" s="150"/>
      <c r="M114" s="120"/>
      <c r="N114" s="795"/>
      <c r="O114" s="201"/>
      <c r="P114" s="202">
        <f t="shared" si="43"/>
        <v>30</v>
      </c>
      <c r="Q114" s="206">
        <v>3.57</v>
      </c>
      <c r="R114" s="206">
        <v>3.09</v>
      </c>
      <c r="S114" s="206">
        <v>2.59</v>
      </c>
      <c r="T114" s="200">
        <v>2.15</v>
      </c>
      <c r="U114" s="200">
        <v>1.75</v>
      </c>
      <c r="V114" s="100">
        <f t="shared" si="36"/>
        <v>0</v>
      </c>
      <c r="W114" s="100">
        <f t="shared" si="37"/>
        <v>0</v>
      </c>
      <c r="X114" s="100">
        <f t="shared" si="38"/>
        <v>0</v>
      </c>
      <c r="Y114" s="100">
        <f t="shared" si="39"/>
        <v>0</v>
      </c>
      <c r="Z114" s="100">
        <f t="shared" si="40"/>
        <v>0</v>
      </c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</row>
    <row r="115" spans="1:37">
      <c r="A115" s="171"/>
      <c r="B115" s="149"/>
      <c r="C115" s="123"/>
      <c r="D115" s="120"/>
      <c r="E115" s="133"/>
      <c r="H115" s="150"/>
      <c r="J115" s="133"/>
      <c r="K115" s="120"/>
      <c r="L115" s="150"/>
      <c r="M115" s="120"/>
      <c r="N115" s="795"/>
      <c r="O115" s="201"/>
      <c r="P115" s="202">
        <f t="shared" si="43"/>
        <v>31</v>
      </c>
      <c r="Q115" s="206">
        <v>3.59</v>
      </c>
      <c r="R115" s="206">
        <v>3.11</v>
      </c>
      <c r="S115" s="206">
        <v>2.62</v>
      </c>
      <c r="T115" s="200">
        <v>2.1800000000000002</v>
      </c>
      <c r="U115" s="200">
        <v>1.77</v>
      </c>
      <c r="V115" s="100">
        <f t="shared" si="36"/>
        <v>0</v>
      </c>
      <c r="W115" s="100">
        <f t="shared" si="37"/>
        <v>0</v>
      </c>
      <c r="X115" s="100">
        <f t="shared" si="38"/>
        <v>0</v>
      </c>
      <c r="Y115" s="100">
        <f t="shared" si="39"/>
        <v>0</v>
      </c>
      <c r="Z115" s="100">
        <f t="shared" si="40"/>
        <v>0</v>
      </c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</row>
    <row r="116" spans="1:37">
      <c r="A116" s="171"/>
      <c r="B116" s="149"/>
      <c r="C116" s="123"/>
      <c r="D116" s="120"/>
      <c r="E116" s="133"/>
      <c r="H116" s="150"/>
      <c r="J116" s="133"/>
      <c r="K116" s="120"/>
      <c r="L116" s="150"/>
      <c r="M116" s="120"/>
      <c r="N116" s="795"/>
      <c r="O116" s="201"/>
      <c r="P116" s="202">
        <f t="shared" si="43"/>
        <v>32</v>
      </c>
      <c r="Q116" s="206">
        <v>3.61</v>
      </c>
      <c r="R116" s="206">
        <v>3.13</v>
      </c>
      <c r="S116" s="206">
        <v>2.64</v>
      </c>
      <c r="T116" s="200">
        <v>2.2000000000000002</v>
      </c>
      <c r="U116" s="200">
        <v>1.8</v>
      </c>
      <c r="V116" s="100">
        <f t="shared" si="36"/>
        <v>0</v>
      </c>
      <c r="W116" s="100">
        <f t="shared" si="37"/>
        <v>0</v>
      </c>
      <c r="X116" s="100">
        <f t="shared" si="38"/>
        <v>0</v>
      </c>
      <c r="Y116" s="100">
        <f t="shared" si="39"/>
        <v>0</v>
      </c>
      <c r="Z116" s="100">
        <f t="shared" si="40"/>
        <v>0</v>
      </c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</row>
    <row r="117" spans="1:37">
      <c r="A117" s="171"/>
      <c r="B117" s="149"/>
      <c r="C117" s="123"/>
      <c r="D117" s="120"/>
      <c r="E117" s="133"/>
      <c r="H117" s="150"/>
      <c r="J117" s="133"/>
      <c r="K117" s="120"/>
      <c r="L117" s="150"/>
      <c r="M117" s="120"/>
      <c r="N117" s="795"/>
      <c r="O117" s="201"/>
      <c r="P117" s="202">
        <f t="shared" si="43"/>
        <v>33</v>
      </c>
      <c r="Q117" s="206">
        <v>3.63</v>
      </c>
      <c r="R117" s="206">
        <v>3.15</v>
      </c>
      <c r="S117" s="206">
        <v>2.66</v>
      </c>
      <c r="T117" s="200">
        <v>2.2200000000000002</v>
      </c>
      <c r="U117" s="200">
        <v>1.82</v>
      </c>
      <c r="V117" s="100">
        <f t="shared" ref="V117:V134" si="44">IF(P117=$U$9,Q117,0)</f>
        <v>0</v>
      </c>
      <c r="W117" s="100">
        <f t="shared" ref="W117:W134" si="45">IF(P117=$U$9,R117,0)</f>
        <v>0</v>
      </c>
      <c r="X117" s="100">
        <f t="shared" ref="X117:X134" si="46">IF(P117=$U$9,S117,0)</f>
        <v>0</v>
      </c>
      <c r="Y117" s="100">
        <f t="shared" ref="Y117:Y134" si="47">IF(P117=$U$9,T117,0)</f>
        <v>0</v>
      </c>
      <c r="Z117" s="100">
        <f t="shared" ref="Z117:Z134" si="48">IF(P117=$U$9,U117,0)</f>
        <v>0</v>
      </c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</row>
    <row r="118" spans="1:37">
      <c r="A118" s="171"/>
      <c r="B118" s="149"/>
      <c r="C118" s="123"/>
      <c r="D118" s="120"/>
      <c r="E118" s="133"/>
      <c r="H118" s="150"/>
      <c r="J118" s="133"/>
      <c r="K118" s="120"/>
      <c r="L118" s="150"/>
      <c r="M118" s="120"/>
      <c r="N118" s="795"/>
      <c r="O118" s="201"/>
      <c r="P118" s="202">
        <f t="shared" si="43"/>
        <v>34</v>
      </c>
      <c r="Q118" s="206">
        <v>3.65</v>
      </c>
      <c r="R118" s="206">
        <v>3.18</v>
      </c>
      <c r="S118" s="206">
        <v>2.69</v>
      </c>
      <c r="T118" s="200">
        <v>2.25</v>
      </c>
      <c r="U118" s="200">
        <v>1.84</v>
      </c>
      <c r="V118" s="100">
        <f t="shared" si="44"/>
        <v>0</v>
      </c>
      <c r="W118" s="100">
        <f t="shared" si="45"/>
        <v>0</v>
      </c>
      <c r="X118" s="100">
        <f t="shared" si="46"/>
        <v>0</v>
      </c>
      <c r="Y118" s="100">
        <f t="shared" si="47"/>
        <v>0</v>
      </c>
      <c r="Z118" s="100">
        <f t="shared" si="48"/>
        <v>0</v>
      </c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</row>
    <row r="119" spans="1:37">
      <c r="A119" s="171"/>
      <c r="B119" s="149"/>
      <c r="C119" s="123"/>
      <c r="D119" s="120"/>
      <c r="E119" s="133"/>
      <c r="H119" s="150"/>
      <c r="J119" s="133"/>
      <c r="K119" s="120"/>
      <c r="L119" s="150"/>
      <c r="M119" s="120"/>
      <c r="N119" s="795"/>
      <c r="O119" s="201"/>
      <c r="P119" s="202">
        <f t="shared" si="43"/>
        <v>35</v>
      </c>
      <c r="Q119" s="206">
        <v>3.67</v>
      </c>
      <c r="R119" s="206">
        <v>3.2</v>
      </c>
      <c r="S119" s="206">
        <v>2.71</v>
      </c>
      <c r="T119" s="200">
        <v>2.27</v>
      </c>
      <c r="U119" s="200">
        <v>1.86</v>
      </c>
      <c r="V119" s="100">
        <f t="shared" si="44"/>
        <v>0</v>
      </c>
      <c r="W119" s="100">
        <f t="shared" si="45"/>
        <v>0</v>
      </c>
      <c r="X119" s="100">
        <f t="shared" si="46"/>
        <v>0</v>
      </c>
      <c r="Y119" s="100">
        <f t="shared" si="47"/>
        <v>0</v>
      </c>
      <c r="Z119" s="100">
        <f t="shared" si="48"/>
        <v>0</v>
      </c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</row>
    <row r="120" spans="1:37">
      <c r="A120" s="171"/>
      <c r="B120" s="149"/>
      <c r="C120" s="123"/>
      <c r="D120" s="120"/>
      <c r="E120" s="133"/>
      <c r="H120" s="150"/>
      <c r="J120" s="133"/>
      <c r="K120" s="120"/>
      <c r="L120" s="150"/>
      <c r="M120" s="120"/>
      <c r="N120" s="795"/>
      <c r="O120" s="201"/>
      <c r="P120" s="202">
        <f t="shared" si="43"/>
        <v>36</v>
      </c>
      <c r="Q120" s="206">
        <v>3.69</v>
      </c>
      <c r="R120" s="206">
        <v>3.22</v>
      </c>
      <c r="S120" s="206">
        <v>2.73</v>
      </c>
      <c r="T120" s="200">
        <v>2.29</v>
      </c>
      <c r="U120" s="200">
        <v>1.88</v>
      </c>
      <c r="V120" s="100">
        <f t="shared" si="44"/>
        <v>0</v>
      </c>
      <c r="W120" s="100">
        <f t="shared" si="45"/>
        <v>0</v>
      </c>
      <c r="X120" s="100">
        <f t="shared" si="46"/>
        <v>0</v>
      </c>
      <c r="Y120" s="100">
        <f t="shared" si="47"/>
        <v>0</v>
      </c>
      <c r="Z120" s="100">
        <f t="shared" si="48"/>
        <v>0</v>
      </c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</row>
    <row r="121" spans="1:37">
      <c r="A121" s="171"/>
      <c r="B121" s="149"/>
      <c r="C121" s="123"/>
      <c r="D121" s="120"/>
      <c r="E121" s="133"/>
      <c r="H121" s="150"/>
      <c r="J121" s="133"/>
      <c r="K121" s="120"/>
      <c r="L121" s="150"/>
      <c r="M121" s="120"/>
      <c r="N121" s="795"/>
      <c r="O121" s="201"/>
      <c r="P121" s="202">
        <f t="shared" si="43"/>
        <v>37</v>
      </c>
      <c r="Q121" s="206">
        <v>3.71</v>
      </c>
      <c r="R121" s="206">
        <v>3.24</v>
      </c>
      <c r="S121" s="206">
        <v>2.75</v>
      </c>
      <c r="T121" s="200">
        <v>2.31</v>
      </c>
      <c r="U121" s="200">
        <v>1.9</v>
      </c>
      <c r="V121" s="100">
        <f t="shared" si="44"/>
        <v>0</v>
      </c>
      <c r="W121" s="100">
        <f t="shared" si="45"/>
        <v>0</v>
      </c>
      <c r="X121" s="100">
        <f t="shared" si="46"/>
        <v>0</v>
      </c>
      <c r="Y121" s="100">
        <f t="shared" si="47"/>
        <v>0</v>
      </c>
      <c r="Z121" s="100">
        <f t="shared" si="48"/>
        <v>0</v>
      </c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</row>
    <row r="122" spans="1:37">
      <c r="A122" s="171"/>
      <c r="B122" s="149"/>
      <c r="C122" s="123"/>
      <c r="D122" s="120"/>
      <c r="E122" s="133"/>
      <c r="H122" s="150"/>
      <c r="J122" s="133"/>
      <c r="K122" s="120"/>
      <c r="L122" s="150"/>
      <c r="M122" s="120"/>
      <c r="N122" s="795"/>
      <c r="O122" s="201"/>
      <c r="P122" s="202">
        <f t="shared" si="43"/>
        <v>38</v>
      </c>
      <c r="Q122" s="206">
        <v>3.72</v>
      </c>
      <c r="R122" s="206">
        <v>3.26</v>
      </c>
      <c r="S122" s="206">
        <v>2.77</v>
      </c>
      <c r="T122" s="200">
        <v>2.33</v>
      </c>
      <c r="U122" s="200">
        <v>1.92</v>
      </c>
      <c r="V122" s="100">
        <f t="shared" si="44"/>
        <v>0</v>
      </c>
      <c r="W122" s="100">
        <f t="shared" si="45"/>
        <v>0</v>
      </c>
      <c r="X122" s="100">
        <f t="shared" si="46"/>
        <v>0</v>
      </c>
      <c r="Y122" s="100">
        <f t="shared" si="47"/>
        <v>0</v>
      </c>
      <c r="Z122" s="100">
        <f t="shared" si="48"/>
        <v>0</v>
      </c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</row>
    <row r="123" spans="1:37">
      <c r="A123" s="171"/>
      <c r="B123" s="149"/>
      <c r="C123" s="123"/>
      <c r="D123" s="120"/>
      <c r="E123" s="133"/>
      <c r="H123" s="150"/>
      <c r="J123" s="133"/>
      <c r="K123" s="120"/>
      <c r="L123" s="150"/>
      <c r="M123" s="120"/>
      <c r="N123" s="795"/>
      <c r="O123" s="201"/>
      <c r="P123" s="202">
        <f t="shared" si="43"/>
        <v>39</v>
      </c>
      <c r="Q123" s="206">
        <v>3.74</v>
      </c>
      <c r="R123" s="206">
        <v>3.28</v>
      </c>
      <c r="S123" s="206">
        <v>2.79</v>
      </c>
      <c r="T123" s="200">
        <v>2.35</v>
      </c>
      <c r="U123" s="200">
        <v>1.94</v>
      </c>
      <c r="V123" s="100">
        <f t="shared" si="44"/>
        <v>0</v>
      </c>
      <c r="W123" s="100">
        <f t="shared" si="45"/>
        <v>0</v>
      </c>
      <c r="X123" s="100">
        <f t="shared" si="46"/>
        <v>0</v>
      </c>
      <c r="Y123" s="100">
        <f t="shared" si="47"/>
        <v>0</v>
      </c>
      <c r="Z123" s="100">
        <f t="shared" si="48"/>
        <v>0</v>
      </c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</row>
    <row r="124" spans="1:37">
      <c r="A124" s="171"/>
      <c r="B124" s="149"/>
      <c r="C124" s="123"/>
      <c r="D124" s="120"/>
      <c r="E124" s="133"/>
      <c r="H124" s="150"/>
      <c r="J124" s="133"/>
      <c r="K124" s="120"/>
      <c r="L124" s="150"/>
      <c r="M124" s="120"/>
      <c r="N124" s="795"/>
      <c r="O124" s="201"/>
      <c r="P124" s="202">
        <f t="shared" si="43"/>
        <v>40</v>
      </c>
      <c r="Q124" s="206">
        <v>3.76</v>
      </c>
      <c r="R124" s="206">
        <v>3.29</v>
      </c>
      <c r="S124" s="206">
        <v>2.81</v>
      </c>
      <c r="T124" s="200">
        <v>2.37</v>
      </c>
      <c r="U124" s="200">
        <v>1.96</v>
      </c>
      <c r="V124" s="100">
        <f t="shared" si="44"/>
        <v>0</v>
      </c>
      <c r="W124" s="100">
        <f t="shared" si="45"/>
        <v>0</v>
      </c>
      <c r="X124" s="100">
        <f t="shared" si="46"/>
        <v>0</v>
      </c>
      <c r="Y124" s="100">
        <f t="shared" si="47"/>
        <v>0</v>
      </c>
      <c r="Z124" s="100">
        <f t="shared" si="48"/>
        <v>0</v>
      </c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</row>
    <row r="125" spans="1:37">
      <c r="A125" s="171"/>
      <c r="B125" s="149"/>
      <c r="C125" s="123"/>
      <c r="D125" s="120"/>
      <c r="E125" s="133"/>
      <c r="H125" s="150"/>
      <c r="J125" s="133"/>
      <c r="K125" s="120"/>
      <c r="L125" s="150"/>
      <c r="M125" s="120"/>
      <c r="N125" s="795"/>
      <c r="O125" s="201"/>
      <c r="P125" s="202">
        <f t="shared" si="43"/>
        <v>41</v>
      </c>
      <c r="Q125" s="206">
        <v>3.77</v>
      </c>
      <c r="R125" s="206">
        <v>3.31</v>
      </c>
      <c r="S125" s="206">
        <v>2.83</v>
      </c>
      <c r="T125" s="200">
        <v>2.39</v>
      </c>
      <c r="U125" s="200">
        <v>1.98</v>
      </c>
      <c r="V125" s="100">
        <f t="shared" si="44"/>
        <v>0</v>
      </c>
      <c r="W125" s="100">
        <f t="shared" si="45"/>
        <v>0</v>
      </c>
      <c r="X125" s="100">
        <f t="shared" si="46"/>
        <v>0</v>
      </c>
      <c r="Y125" s="100">
        <f t="shared" si="47"/>
        <v>0</v>
      </c>
      <c r="Z125" s="100">
        <f t="shared" si="48"/>
        <v>0</v>
      </c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</row>
    <row r="126" spans="1:37">
      <c r="A126" s="171"/>
      <c r="B126" s="149"/>
      <c r="C126" s="123"/>
      <c r="D126" s="120"/>
      <c r="E126" s="133"/>
      <c r="H126" s="150"/>
      <c r="J126" s="133"/>
      <c r="K126" s="120"/>
      <c r="L126" s="150"/>
      <c r="M126" s="120"/>
      <c r="N126" s="795"/>
      <c r="O126" s="201"/>
      <c r="P126" s="202">
        <f t="shared" si="43"/>
        <v>42</v>
      </c>
      <c r="Q126" s="206">
        <v>3.79</v>
      </c>
      <c r="R126" s="206">
        <v>3.33</v>
      </c>
      <c r="S126" s="206">
        <v>2.85</v>
      </c>
      <c r="T126" s="200">
        <v>2.4</v>
      </c>
      <c r="U126" s="200">
        <v>1.99</v>
      </c>
      <c r="V126" s="100">
        <f t="shared" si="44"/>
        <v>0</v>
      </c>
      <c r="W126" s="100">
        <f t="shared" si="45"/>
        <v>0</v>
      </c>
      <c r="X126" s="100">
        <f t="shared" si="46"/>
        <v>0</v>
      </c>
      <c r="Y126" s="100">
        <f t="shared" si="47"/>
        <v>0</v>
      </c>
      <c r="Z126" s="100">
        <f t="shared" si="48"/>
        <v>0</v>
      </c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</row>
    <row r="127" spans="1:37">
      <c r="A127" s="171"/>
      <c r="B127" s="149"/>
      <c r="C127" s="123"/>
      <c r="D127" s="120"/>
      <c r="E127" s="133"/>
      <c r="H127" s="150"/>
      <c r="J127" s="133"/>
      <c r="K127" s="120"/>
      <c r="L127" s="150"/>
      <c r="M127" s="120"/>
      <c r="N127" s="795"/>
      <c r="O127" s="201"/>
      <c r="P127" s="202">
        <f t="shared" si="43"/>
        <v>43</v>
      </c>
      <c r="Q127" s="206">
        <v>3.8</v>
      </c>
      <c r="R127" s="206">
        <v>3.35</v>
      </c>
      <c r="S127" s="206">
        <v>2.86</v>
      </c>
      <c r="T127" s="200">
        <v>2.42</v>
      </c>
      <c r="U127" s="200">
        <v>2.0099999999999998</v>
      </c>
      <c r="V127" s="100">
        <f t="shared" si="44"/>
        <v>0</v>
      </c>
      <c r="W127" s="100">
        <f t="shared" si="45"/>
        <v>0</v>
      </c>
      <c r="X127" s="100">
        <f t="shared" si="46"/>
        <v>0</v>
      </c>
      <c r="Y127" s="100">
        <f t="shared" si="47"/>
        <v>0</v>
      </c>
      <c r="Z127" s="100">
        <f t="shared" si="48"/>
        <v>0</v>
      </c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</row>
    <row r="128" spans="1:37">
      <c r="A128" s="171"/>
      <c r="B128" s="149"/>
      <c r="C128" s="123"/>
      <c r="D128" s="120"/>
      <c r="E128" s="133"/>
      <c r="H128" s="150"/>
      <c r="J128" s="133"/>
      <c r="K128" s="120"/>
      <c r="L128" s="150"/>
      <c r="M128" s="120"/>
      <c r="N128" s="795"/>
      <c r="O128" s="201"/>
      <c r="P128" s="202">
        <f t="shared" si="43"/>
        <v>44</v>
      </c>
      <c r="Q128" s="206">
        <v>3.82</v>
      </c>
      <c r="R128" s="206">
        <v>3.36</v>
      </c>
      <c r="S128" s="206">
        <v>2.88</v>
      </c>
      <c r="T128" s="200">
        <v>2.44</v>
      </c>
      <c r="U128" s="200">
        <v>2.0299999999999998</v>
      </c>
      <c r="V128" s="100">
        <f t="shared" si="44"/>
        <v>0</v>
      </c>
      <c r="W128" s="100">
        <f t="shared" si="45"/>
        <v>0</v>
      </c>
      <c r="X128" s="100">
        <f t="shared" si="46"/>
        <v>0</v>
      </c>
      <c r="Y128" s="100">
        <f t="shared" si="47"/>
        <v>0</v>
      </c>
      <c r="Z128" s="100">
        <f t="shared" si="48"/>
        <v>0</v>
      </c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</row>
    <row r="129" spans="1:37">
      <c r="A129" s="171"/>
      <c r="B129" s="149"/>
      <c r="C129" s="123"/>
      <c r="D129" s="120"/>
      <c r="E129" s="133"/>
      <c r="H129" s="150"/>
      <c r="J129" s="133"/>
      <c r="K129" s="120"/>
      <c r="L129" s="150"/>
      <c r="M129" s="120"/>
      <c r="N129" s="795"/>
      <c r="O129" s="201"/>
      <c r="P129" s="202">
        <f t="shared" si="43"/>
        <v>45</v>
      </c>
      <c r="Q129" s="206">
        <v>3.83</v>
      </c>
      <c r="R129" s="206">
        <v>3.38</v>
      </c>
      <c r="S129" s="206">
        <v>2.9</v>
      </c>
      <c r="T129" s="200">
        <v>2.46</v>
      </c>
      <c r="U129" s="200">
        <v>2.0499999999999998</v>
      </c>
      <c r="V129" s="100">
        <f t="shared" si="44"/>
        <v>0</v>
      </c>
      <c r="W129" s="100">
        <f t="shared" si="45"/>
        <v>0</v>
      </c>
      <c r="X129" s="100">
        <f t="shared" si="46"/>
        <v>0</v>
      </c>
      <c r="Y129" s="100">
        <f t="shared" si="47"/>
        <v>0</v>
      </c>
      <c r="Z129" s="100">
        <f t="shared" si="48"/>
        <v>0</v>
      </c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</row>
    <row r="130" spans="1:37">
      <c r="A130" s="171"/>
      <c r="B130" s="149"/>
      <c r="C130" s="123"/>
      <c r="D130" s="120"/>
      <c r="E130" s="133"/>
      <c r="H130" s="150"/>
      <c r="J130" s="133"/>
      <c r="K130" s="120"/>
      <c r="L130" s="150"/>
      <c r="M130" s="120"/>
      <c r="N130" s="795"/>
      <c r="O130" s="201"/>
      <c r="P130" s="202">
        <f t="shared" si="43"/>
        <v>46</v>
      </c>
      <c r="Q130" s="206">
        <v>3.85</v>
      </c>
      <c r="R130" s="206">
        <v>3.4</v>
      </c>
      <c r="S130" s="206">
        <v>2.92</v>
      </c>
      <c r="T130" s="200">
        <v>2.4700000000000002</v>
      </c>
      <c r="U130" s="200">
        <v>2.06</v>
      </c>
      <c r="V130" s="100">
        <f t="shared" si="44"/>
        <v>0</v>
      </c>
      <c r="W130" s="100">
        <f t="shared" si="45"/>
        <v>0</v>
      </c>
      <c r="X130" s="100">
        <f t="shared" si="46"/>
        <v>0</v>
      </c>
      <c r="Y130" s="100">
        <f t="shared" si="47"/>
        <v>0</v>
      </c>
      <c r="Z130" s="100">
        <f t="shared" si="48"/>
        <v>0</v>
      </c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</row>
    <row r="131" spans="1:37">
      <c r="A131" s="171"/>
      <c r="B131" s="149"/>
      <c r="C131" s="123"/>
      <c r="D131" s="120"/>
      <c r="E131" s="133"/>
      <c r="H131" s="150"/>
      <c r="J131" s="133"/>
      <c r="K131" s="120"/>
      <c r="L131" s="150"/>
      <c r="M131" s="120"/>
      <c r="N131" s="795"/>
      <c r="O131" s="201"/>
      <c r="P131" s="202">
        <f t="shared" si="43"/>
        <v>47</v>
      </c>
      <c r="Q131" s="206">
        <v>3.86</v>
      </c>
      <c r="R131" s="206">
        <v>3.41</v>
      </c>
      <c r="S131" s="206">
        <v>2.93</v>
      </c>
      <c r="T131" s="200">
        <v>2.4900000000000002</v>
      </c>
      <c r="U131" s="200">
        <v>2.08</v>
      </c>
      <c r="V131" s="100">
        <f t="shared" si="44"/>
        <v>0</v>
      </c>
      <c r="W131" s="100">
        <f t="shared" si="45"/>
        <v>0</v>
      </c>
      <c r="X131" s="100">
        <f t="shared" si="46"/>
        <v>0</v>
      </c>
      <c r="Y131" s="100">
        <f t="shared" si="47"/>
        <v>0</v>
      </c>
      <c r="Z131" s="100">
        <f t="shared" si="48"/>
        <v>0</v>
      </c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</row>
    <row r="132" spans="1:37">
      <c r="A132" s="171"/>
      <c r="B132" s="149"/>
      <c r="C132" s="123"/>
      <c r="D132" s="120"/>
      <c r="E132" s="133"/>
      <c r="H132" s="150"/>
      <c r="J132" s="133"/>
      <c r="K132" s="120"/>
      <c r="L132" s="150"/>
      <c r="M132" s="120"/>
      <c r="N132" s="795"/>
      <c r="O132" s="201"/>
      <c r="P132" s="202">
        <f t="shared" si="43"/>
        <v>48</v>
      </c>
      <c r="Q132" s="206">
        <v>3.88</v>
      </c>
      <c r="R132" s="206">
        <v>3.43</v>
      </c>
      <c r="S132" s="206">
        <v>2.95</v>
      </c>
      <c r="T132" s="200">
        <v>2.5099999999999998</v>
      </c>
      <c r="U132" s="200">
        <v>2.09</v>
      </c>
      <c r="V132" s="100">
        <f t="shared" si="44"/>
        <v>0</v>
      </c>
      <c r="W132" s="100">
        <f t="shared" si="45"/>
        <v>0</v>
      </c>
      <c r="X132" s="100">
        <f t="shared" si="46"/>
        <v>0</v>
      </c>
      <c r="Y132" s="100">
        <f t="shared" si="47"/>
        <v>0</v>
      </c>
      <c r="Z132" s="100">
        <f t="shared" si="48"/>
        <v>0</v>
      </c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</row>
    <row r="133" spans="1:37">
      <c r="A133" s="171"/>
      <c r="B133" s="149"/>
      <c r="C133" s="123"/>
      <c r="D133" s="120"/>
      <c r="E133" s="133"/>
      <c r="H133" s="150"/>
      <c r="J133" s="133"/>
      <c r="K133" s="120"/>
      <c r="L133" s="150"/>
      <c r="M133" s="120"/>
      <c r="N133" s="795"/>
      <c r="O133" s="201"/>
      <c r="P133" s="202">
        <f t="shared" si="43"/>
        <v>49</v>
      </c>
      <c r="Q133" s="206">
        <v>3.89</v>
      </c>
      <c r="R133" s="206">
        <v>3.44</v>
      </c>
      <c r="S133" s="206">
        <v>2.96</v>
      </c>
      <c r="T133" s="200">
        <v>2.52</v>
      </c>
      <c r="U133" s="200">
        <v>2.11</v>
      </c>
      <c r="V133" s="100">
        <f t="shared" si="44"/>
        <v>0</v>
      </c>
      <c r="W133" s="100">
        <f t="shared" si="45"/>
        <v>0</v>
      </c>
      <c r="X133" s="100">
        <f t="shared" si="46"/>
        <v>0</v>
      </c>
      <c r="Y133" s="100">
        <f t="shared" si="47"/>
        <v>0</v>
      </c>
      <c r="Z133" s="100">
        <f t="shared" si="48"/>
        <v>0</v>
      </c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</row>
    <row r="134" spans="1:37" ht="15.75" thickBot="1">
      <c r="A134" s="209"/>
      <c r="B134" s="210"/>
      <c r="C134" s="211"/>
      <c r="D134" s="212"/>
      <c r="E134" s="213"/>
      <c r="F134" s="228"/>
      <c r="G134" s="228"/>
      <c r="H134" s="214"/>
      <c r="J134" s="213"/>
      <c r="K134" s="212"/>
      <c r="L134" s="214"/>
      <c r="M134" s="120"/>
      <c r="N134" s="796"/>
      <c r="O134" s="215"/>
      <c r="P134" s="202">
        <f t="shared" si="43"/>
        <v>50</v>
      </c>
      <c r="Q134" s="206">
        <v>3.9</v>
      </c>
      <c r="R134" s="206">
        <v>3.46</v>
      </c>
      <c r="S134" s="206">
        <v>2.98</v>
      </c>
      <c r="T134" s="200">
        <v>2.54</v>
      </c>
      <c r="U134" s="200">
        <v>2.12</v>
      </c>
      <c r="V134" s="100">
        <f t="shared" si="44"/>
        <v>0</v>
      </c>
      <c r="W134" s="100">
        <f t="shared" si="45"/>
        <v>0</v>
      </c>
      <c r="X134" s="100">
        <f t="shared" si="46"/>
        <v>0</v>
      </c>
      <c r="Y134" s="100">
        <f t="shared" si="47"/>
        <v>0</v>
      </c>
      <c r="Z134" s="100">
        <f t="shared" si="48"/>
        <v>0</v>
      </c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</row>
    <row r="135" spans="1:37">
      <c r="A135" s="216"/>
      <c r="B135" s="123"/>
      <c r="C135" s="123"/>
      <c r="D135" s="132"/>
      <c r="E135" s="132"/>
      <c r="F135" s="217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218">
        <f>IF(P72=0,SUM(V85:V134),0)</f>
        <v>0</v>
      </c>
      <c r="W135" s="218">
        <f>IF(P72="II",SUM(W85:W134),0)</f>
        <v>1.63</v>
      </c>
      <c r="X135" s="218">
        <f>IF(P72="IIIa",SUM(X85:X134),0)</f>
        <v>0</v>
      </c>
      <c r="Y135" s="218">
        <f>IF(P72="IIIb",SUM(Y85:Y134),0)</f>
        <v>0</v>
      </c>
      <c r="Z135" s="218">
        <f>IF(P72="IV",SUM(Z85:Z134),0)</f>
        <v>0</v>
      </c>
      <c r="AA135" s="219">
        <f>SUM(V135:Z135)</f>
        <v>1.63</v>
      </c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</row>
    <row r="136" spans="1:37">
      <c r="A136" s="216"/>
      <c r="B136" s="123"/>
      <c r="C136" s="123"/>
      <c r="D136" s="132"/>
      <c r="E136" s="132"/>
      <c r="F136" s="217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</row>
    <row r="137" spans="1:37">
      <c r="A137" s="216"/>
      <c r="B137" s="123"/>
      <c r="C137" s="123"/>
      <c r="D137" s="132"/>
      <c r="E137" s="132"/>
      <c r="F137" s="217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>
        <f>IF(Z140&lt;0.125,1,0)</f>
        <v>1</v>
      </c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</row>
    <row r="138" spans="1:37">
      <c r="A138" s="216"/>
      <c r="B138" s="123"/>
      <c r="C138" s="123"/>
      <c r="D138" s="132"/>
      <c r="E138" s="132"/>
      <c r="F138" s="217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737" t="s">
        <v>480</v>
      </c>
      <c r="Z138" s="738"/>
      <c r="AA138" s="738"/>
      <c r="AB138" s="739"/>
      <c r="AC138" s="120"/>
      <c r="AD138" s="120"/>
      <c r="AE138" s="120"/>
      <c r="AF138" s="120"/>
      <c r="AG138" s="120"/>
      <c r="AH138" s="120"/>
      <c r="AI138" s="120"/>
      <c r="AJ138" s="120"/>
      <c r="AK138" s="120"/>
    </row>
    <row r="139" spans="1:37">
      <c r="A139" s="216"/>
      <c r="B139" s="123"/>
      <c r="C139" s="123"/>
      <c r="D139" s="132"/>
      <c r="E139" s="132"/>
      <c r="F139" s="217"/>
      <c r="G139" s="120"/>
      <c r="H139" s="120"/>
      <c r="I139" s="120"/>
      <c r="J139" s="120"/>
      <c r="K139" s="120"/>
      <c r="L139" s="120"/>
      <c r="M139" s="120"/>
      <c r="N139" s="782" t="s">
        <v>588</v>
      </c>
      <c r="O139" s="783"/>
      <c r="P139" s="739" t="s">
        <v>589</v>
      </c>
      <c r="Q139" s="788"/>
      <c r="R139" s="788"/>
      <c r="S139" s="788"/>
      <c r="T139" s="788"/>
      <c r="U139" s="788"/>
      <c r="V139" s="788"/>
      <c r="W139" s="788"/>
      <c r="X139" s="120"/>
      <c r="Y139" s="100" t="s">
        <v>579</v>
      </c>
      <c r="Z139" s="100" t="s">
        <v>580</v>
      </c>
      <c r="AA139" s="101" t="s">
        <v>582</v>
      </c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</row>
    <row r="140" spans="1:37">
      <c r="A140" s="216"/>
      <c r="B140" s="123"/>
      <c r="C140" s="123"/>
      <c r="D140" s="132"/>
      <c r="E140" s="132"/>
      <c r="F140" s="217"/>
      <c r="G140" s="120"/>
      <c r="H140" s="120"/>
      <c r="I140" s="120"/>
      <c r="J140" s="120"/>
      <c r="K140" s="120"/>
      <c r="L140" s="120"/>
      <c r="M140" s="120"/>
      <c r="N140" s="784"/>
      <c r="O140" s="785"/>
      <c r="P140" s="739" t="s">
        <v>590</v>
      </c>
      <c r="Q140" s="788"/>
      <c r="R140" s="788" t="s">
        <v>591</v>
      </c>
      <c r="S140" s="788"/>
      <c r="T140" s="788" t="s">
        <v>592</v>
      </c>
      <c r="U140" s="788"/>
      <c r="V140" s="788" t="s">
        <v>593</v>
      </c>
      <c r="W140" s="788"/>
      <c r="X140" s="120"/>
      <c r="Y140" s="220">
        <f>R73</f>
        <v>0</v>
      </c>
      <c r="Z140" s="220">
        <f>R74</f>
        <v>0</v>
      </c>
      <c r="AA140" s="221">
        <f>R75</f>
        <v>0</v>
      </c>
      <c r="AB140" s="170"/>
      <c r="AC140" s="120"/>
      <c r="AD140" s="120"/>
      <c r="AE140" s="120"/>
      <c r="AF140" s="120"/>
      <c r="AG140" s="120"/>
      <c r="AH140" s="120"/>
      <c r="AI140" s="120"/>
      <c r="AJ140" s="120"/>
      <c r="AK140" s="120"/>
    </row>
    <row r="141" spans="1:37">
      <c r="A141" s="216"/>
      <c r="B141" s="123"/>
      <c r="C141" s="123"/>
      <c r="D141" s="132"/>
      <c r="E141" s="132"/>
      <c r="F141" s="217"/>
      <c r="G141" s="120"/>
      <c r="H141" s="120"/>
      <c r="I141" s="120"/>
      <c r="J141" s="120"/>
      <c r="K141" s="120"/>
      <c r="L141" s="120"/>
      <c r="M141" s="120"/>
      <c r="N141" s="786"/>
      <c r="O141" s="787"/>
      <c r="P141" s="222" t="s">
        <v>594</v>
      </c>
      <c r="Q141" s="100" t="s">
        <v>595</v>
      </c>
      <c r="R141" s="100" t="s">
        <v>594</v>
      </c>
      <c r="S141" s="100" t="s">
        <v>595</v>
      </c>
      <c r="T141" s="100" t="s">
        <v>594</v>
      </c>
      <c r="U141" s="100" t="s">
        <v>595</v>
      </c>
      <c r="V141" s="100" t="s">
        <v>594</v>
      </c>
      <c r="W141" s="100" t="s">
        <v>595</v>
      </c>
      <c r="X141" s="120"/>
      <c r="Y141" s="170" t="e">
        <f>#REF!</f>
        <v>#REF!</v>
      </c>
      <c r="Z141" s="170" t="e">
        <f>#REF!</f>
        <v>#REF!</v>
      </c>
      <c r="AA141" s="170" t="e">
        <f>#REF!</f>
        <v>#REF!</v>
      </c>
      <c r="AB141" s="170">
        <f>P76</f>
        <v>0</v>
      </c>
      <c r="AC141" s="120"/>
      <c r="AD141" s="120"/>
      <c r="AE141" s="120"/>
      <c r="AF141" s="120"/>
      <c r="AG141" s="120"/>
      <c r="AH141" s="120"/>
      <c r="AI141" s="120"/>
      <c r="AJ141" s="120"/>
      <c r="AK141" s="120"/>
    </row>
    <row r="142" spans="1:37">
      <c r="A142" s="216"/>
      <c r="B142" s="123"/>
      <c r="C142" s="123"/>
      <c r="D142" s="132"/>
      <c r="E142" s="132"/>
      <c r="F142" s="217"/>
      <c r="G142" s="120"/>
      <c r="H142" s="120"/>
      <c r="I142" s="120"/>
      <c r="J142" s="120"/>
      <c r="K142" s="120"/>
      <c r="L142" s="120"/>
      <c r="M142" s="120"/>
      <c r="N142" s="782" t="s">
        <v>583</v>
      </c>
      <c r="O142" s="783"/>
      <c r="P142" s="797">
        <v>-1.8</v>
      </c>
      <c r="Q142" s="797">
        <v>-2.5</v>
      </c>
      <c r="R142" s="797">
        <v>-1.2</v>
      </c>
      <c r="S142" s="797">
        <v>-2</v>
      </c>
      <c r="T142" s="797">
        <v>-0.7</v>
      </c>
      <c r="U142" s="797">
        <v>-1.2</v>
      </c>
      <c r="V142" s="799" t="s">
        <v>596</v>
      </c>
      <c r="W142" s="800"/>
      <c r="X142" s="120"/>
      <c r="Y142" s="797">
        <f t="shared" ref="Y142:AE142" si="49">IF($AB$99=1,P142,0)</f>
        <v>0</v>
      </c>
      <c r="Z142" s="797">
        <f t="shared" si="49"/>
        <v>0</v>
      </c>
      <c r="AA142" s="797">
        <f t="shared" si="49"/>
        <v>0</v>
      </c>
      <c r="AB142" s="797">
        <f t="shared" si="49"/>
        <v>0</v>
      </c>
      <c r="AC142" s="797">
        <f t="shared" si="49"/>
        <v>0</v>
      </c>
      <c r="AD142" s="797">
        <f t="shared" si="49"/>
        <v>0</v>
      </c>
      <c r="AE142" s="799">
        <f t="shared" si="49"/>
        <v>0</v>
      </c>
      <c r="AF142" s="800"/>
      <c r="AG142" s="120"/>
      <c r="AH142" s="120"/>
      <c r="AI142" s="120"/>
      <c r="AJ142" s="120"/>
      <c r="AK142" s="120"/>
    </row>
    <row r="143" spans="1:37" ht="15.75" thickBot="1">
      <c r="A143" s="216"/>
      <c r="B143" s="123"/>
      <c r="C143" s="123"/>
      <c r="D143" s="132"/>
      <c r="E143" s="132"/>
      <c r="F143" s="217"/>
      <c r="G143" s="120"/>
      <c r="H143" s="120"/>
      <c r="I143" s="120"/>
      <c r="J143" s="120"/>
      <c r="K143" s="120"/>
      <c r="L143" s="120"/>
      <c r="M143" s="120"/>
      <c r="N143" s="784"/>
      <c r="O143" s="785"/>
      <c r="P143" s="798"/>
      <c r="Q143" s="798"/>
      <c r="R143" s="798"/>
      <c r="S143" s="798"/>
      <c r="T143" s="798"/>
      <c r="U143" s="798"/>
      <c r="V143" s="801" t="s">
        <v>597</v>
      </c>
      <c r="W143" s="783"/>
      <c r="X143" s="120"/>
      <c r="Y143" s="798"/>
      <c r="Z143" s="798"/>
      <c r="AA143" s="798"/>
      <c r="AB143" s="798"/>
      <c r="AC143" s="798"/>
      <c r="AD143" s="798"/>
      <c r="AE143" s="801">
        <f>IF($AB$99=1,V143,0)</f>
        <v>0</v>
      </c>
      <c r="AF143" s="783"/>
      <c r="AG143" s="120"/>
      <c r="AH143" s="120"/>
      <c r="AI143" s="120"/>
      <c r="AJ143" s="120"/>
      <c r="AK143" s="120"/>
    </row>
    <row r="144" spans="1:37">
      <c r="A144" s="216"/>
      <c r="B144" s="123"/>
      <c r="C144" s="123"/>
      <c r="D144" s="132"/>
      <c r="E144" s="132"/>
      <c r="F144" s="217"/>
      <c r="G144" s="120"/>
      <c r="H144" s="120"/>
      <c r="I144" s="120"/>
      <c r="J144" s="120"/>
      <c r="K144" s="120"/>
      <c r="L144" s="120"/>
      <c r="M144" s="120"/>
      <c r="N144" s="802" t="s">
        <v>598</v>
      </c>
      <c r="O144" s="805" t="s">
        <v>599</v>
      </c>
      <c r="P144" s="805">
        <f>P146+(P148-P150)</f>
        <v>-1.7000000000000002</v>
      </c>
      <c r="Q144" s="805">
        <f t="shared" ref="Q144:U144" si="50">Q146+(Q148-Q150)</f>
        <v>-2.3000000000000003</v>
      </c>
      <c r="R144" s="805">
        <f t="shared" si="50"/>
        <v>-1.2000000000000002</v>
      </c>
      <c r="S144" s="805">
        <f t="shared" si="50"/>
        <v>-1.9000000000000001</v>
      </c>
      <c r="T144" s="805">
        <f t="shared" si="50"/>
        <v>-0.7</v>
      </c>
      <c r="U144" s="805">
        <f t="shared" si="50"/>
        <v>-1.2</v>
      </c>
      <c r="V144" s="807" t="s">
        <v>596</v>
      </c>
      <c r="W144" s="808"/>
      <c r="X144" s="810">
        <f>IF(0&lt;=$Z$98,IF($Z$98&lt;0.025,1,0),0)</f>
        <v>1</v>
      </c>
      <c r="Y144" s="802">
        <f>IF($Z$99=1,IF($X$102=1,P144,0),0)</f>
        <v>0</v>
      </c>
      <c r="Z144" s="805">
        <f t="shared" ref="Z144:AD144" si="51">IF($Z$99=1,IF($X$102=1,Q144,0),0)</f>
        <v>0</v>
      </c>
      <c r="AA144" s="805">
        <f t="shared" si="51"/>
        <v>0</v>
      </c>
      <c r="AB144" s="805">
        <f t="shared" si="51"/>
        <v>0</v>
      </c>
      <c r="AC144" s="805">
        <f t="shared" si="51"/>
        <v>0</v>
      </c>
      <c r="AD144" s="805">
        <f t="shared" si="51"/>
        <v>0</v>
      </c>
      <c r="AE144" s="807">
        <f>IF($Z$99=1,IF(X144=1,V144,0),0)</f>
        <v>0</v>
      </c>
      <c r="AF144" s="808"/>
      <c r="AG144" s="120"/>
      <c r="AH144" s="120"/>
      <c r="AI144" s="120"/>
      <c r="AJ144" s="120"/>
      <c r="AK144" s="120"/>
    </row>
    <row r="145" spans="1:37">
      <c r="A145" s="216"/>
      <c r="B145" s="123"/>
      <c r="C145" s="123"/>
      <c r="D145" s="132"/>
      <c r="E145" s="132"/>
      <c r="F145" s="217"/>
      <c r="G145" s="120"/>
      <c r="H145" s="120"/>
      <c r="I145" s="120"/>
      <c r="J145" s="120"/>
      <c r="K145" s="120"/>
      <c r="L145" s="120"/>
      <c r="M145" s="120"/>
      <c r="N145" s="803"/>
      <c r="O145" s="806"/>
      <c r="P145" s="806"/>
      <c r="Q145" s="806"/>
      <c r="R145" s="806"/>
      <c r="S145" s="806"/>
      <c r="T145" s="806"/>
      <c r="U145" s="806"/>
      <c r="V145" s="799" t="s">
        <v>597</v>
      </c>
      <c r="W145" s="809"/>
      <c r="X145" s="810"/>
      <c r="Y145" s="811"/>
      <c r="Z145" s="806"/>
      <c r="AA145" s="806"/>
      <c r="AB145" s="806"/>
      <c r="AC145" s="806"/>
      <c r="AD145" s="806"/>
      <c r="AE145" s="799">
        <f>IF($Z$99=1,IF(X144=1,V145,0),0)</f>
        <v>0</v>
      </c>
      <c r="AF145" s="809"/>
      <c r="AG145" s="120"/>
      <c r="AH145" s="120"/>
      <c r="AI145" s="120"/>
      <c r="AJ145" s="120"/>
      <c r="AK145" s="120"/>
    </row>
    <row r="146" spans="1:37">
      <c r="A146" s="216"/>
      <c r="B146" s="123"/>
      <c r="C146" s="123"/>
      <c r="D146" s="132"/>
      <c r="E146" s="132"/>
      <c r="F146" s="217"/>
      <c r="G146" s="120"/>
      <c r="H146" s="120"/>
      <c r="I146" s="120"/>
      <c r="J146" s="120"/>
      <c r="K146" s="120"/>
      <c r="L146" s="120"/>
      <c r="M146" s="120"/>
      <c r="N146" s="803"/>
      <c r="O146" s="797" t="s">
        <v>600</v>
      </c>
      <c r="P146" s="797">
        <v>-1.6</v>
      </c>
      <c r="Q146" s="797">
        <v>-2.2000000000000002</v>
      </c>
      <c r="R146" s="797">
        <v>-1.1000000000000001</v>
      </c>
      <c r="S146" s="797">
        <v>-1.8</v>
      </c>
      <c r="T146" s="797">
        <v>-0.7</v>
      </c>
      <c r="U146" s="797">
        <v>-1.2</v>
      </c>
      <c r="V146" s="799" t="s">
        <v>596</v>
      </c>
      <c r="W146" s="809"/>
      <c r="X146" s="810">
        <f>IF(0.025&lt;=$Z$98,IF($Z$98&lt;0.0375,1,0),0)</f>
        <v>0</v>
      </c>
      <c r="Y146" s="812">
        <f>IF($Z$99=1,IF($X$104=1,P146,0),0)</f>
        <v>0</v>
      </c>
      <c r="Z146" s="797">
        <f t="shared" ref="Z146:AD146" si="52">IF($Z$99=1,IF($X$104=1,Q146,0),0)</f>
        <v>0</v>
      </c>
      <c r="AA146" s="797">
        <f t="shared" si="52"/>
        <v>0</v>
      </c>
      <c r="AB146" s="797">
        <f t="shared" si="52"/>
        <v>0</v>
      </c>
      <c r="AC146" s="797">
        <f t="shared" si="52"/>
        <v>0</v>
      </c>
      <c r="AD146" s="797">
        <f t="shared" si="52"/>
        <v>0</v>
      </c>
      <c r="AE146" s="799">
        <f>IF($Z$99=1,IF(X146=1,V146,0),0)</f>
        <v>0</v>
      </c>
      <c r="AF146" s="809"/>
      <c r="AG146" s="120"/>
      <c r="AH146" s="120"/>
      <c r="AI146" s="120"/>
      <c r="AJ146" s="120"/>
      <c r="AK146" s="120"/>
    </row>
    <row r="147" spans="1:37">
      <c r="A147" s="216"/>
      <c r="B147" s="123"/>
      <c r="C147" s="123"/>
      <c r="D147" s="132"/>
      <c r="E147" s="132"/>
      <c r="F147" s="217"/>
      <c r="G147" s="120"/>
      <c r="H147" s="120"/>
      <c r="I147" s="120"/>
      <c r="J147" s="120"/>
      <c r="K147" s="120"/>
      <c r="L147" s="120"/>
      <c r="M147" s="120"/>
      <c r="N147" s="803"/>
      <c r="O147" s="806"/>
      <c r="P147" s="806"/>
      <c r="Q147" s="806"/>
      <c r="R147" s="806"/>
      <c r="S147" s="806"/>
      <c r="T147" s="806"/>
      <c r="U147" s="806"/>
      <c r="V147" s="799" t="s">
        <v>597</v>
      </c>
      <c r="W147" s="809"/>
      <c r="X147" s="810"/>
      <c r="Y147" s="811"/>
      <c r="Z147" s="806"/>
      <c r="AA147" s="806"/>
      <c r="AB147" s="806"/>
      <c r="AC147" s="806"/>
      <c r="AD147" s="806"/>
      <c r="AE147" s="799">
        <f>IF($Z$99=1,IF(X146=1,V147,0),0)</f>
        <v>0</v>
      </c>
      <c r="AF147" s="809"/>
      <c r="AG147" s="120"/>
      <c r="AH147" s="120"/>
      <c r="AI147" s="120"/>
      <c r="AJ147" s="120"/>
      <c r="AK147" s="120"/>
    </row>
    <row r="148" spans="1:37">
      <c r="A148" s="216"/>
      <c r="B148" s="123"/>
      <c r="C148" s="123"/>
      <c r="D148" s="132"/>
      <c r="E148" s="132"/>
      <c r="F148" s="217"/>
      <c r="G148" s="120"/>
      <c r="H148" s="120"/>
      <c r="I148" s="120"/>
      <c r="J148" s="120"/>
      <c r="K148" s="120"/>
      <c r="L148" s="120"/>
      <c r="M148" s="120"/>
      <c r="N148" s="803"/>
      <c r="O148" s="797" t="s">
        <v>601</v>
      </c>
      <c r="P148" s="797">
        <f>(P150+P146)/2</f>
        <v>-1.5</v>
      </c>
      <c r="Q148" s="797">
        <f t="shared" ref="Q148:U148" si="53">(Q150+Q146)/2</f>
        <v>-2.1</v>
      </c>
      <c r="R148" s="797">
        <f t="shared" si="53"/>
        <v>-1</v>
      </c>
      <c r="S148" s="797">
        <f t="shared" si="53"/>
        <v>-1.7000000000000002</v>
      </c>
      <c r="T148" s="797">
        <f t="shared" si="53"/>
        <v>-0.7</v>
      </c>
      <c r="U148" s="797">
        <f t="shared" si="53"/>
        <v>-1.2</v>
      </c>
      <c r="V148" s="799" t="s">
        <v>596</v>
      </c>
      <c r="W148" s="809"/>
      <c r="X148" s="810">
        <f>IF(0.0375&lt;=$Z$98,IF($Z$98&lt;0.05,1,0),0)</f>
        <v>0</v>
      </c>
      <c r="Y148" s="812">
        <f>IF($Z$99=1,IF($X$106=1,P148,0),0)</f>
        <v>0</v>
      </c>
      <c r="Z148" s="797">
        <f t="shared" ref="Z148:AD148" si="54">IF($Z$99=1,IF($X$106=1,Q148,0),0)</f>
        <v>0</v>
      </c>
      <c r="AA148" s="797">
        <f t="shared" si="54"/>
        <v>0</v>
      </c>
      <c r="AB148" s="797">
        <f t="shared" si="54"/>
        <v>0</v>
      </c>
      <c r="AC148" s="797">
        <f t="shared" si="54"/>
        <v>0</v>
      </c>
      <c r="AD148" s="797">
        <f t="shared" si="54"/>
        <v>0</v>
      </c>
      <c r="AE148" s="799">
        <f>IF($Z$99=1,IF(X148=1,V148,0),0)</f>
        <v>0</v>
      </c>
      <c r="AF148" s="809"/>
      <c r="AG148" s="120"/>
      <c r="AH148" s="120"/>
      <c r="AI148" s="120"/>
      <c r="AJ148" s="120"/>
      <c r="AK148" s="120"/>
    </row>
    <row r="149" spans="1:37">
      <c r="A149" s="216"/>
      <c r="B149" s="123"/>
      <c r="C149" s="123"/>
      <c r="D149" s="132"/>
      <c r="E149" s="132"/>
      <c r="F149" s="217"/>
      <c r="G149" s="120"/>
      <c r="H149" s="120"/>
      <c r="I149" s="120"/>
      <c r="J149" s="120"/>
      <c r="K149" s="120"/>
      <c r="L149" s="120"/>
      <c r="M149" s="120"/>
      <c r="N149" s="803"/>
      <c r="O149" s="806"/>
      <c r="P149" s="806"/>
      <c r="Q149" s="806"/>
      <c r="R149" s="806"/>
      <c r="S149" s="806"/>
      <c r="T149" s="806"/>
      <c r="U149" s="806"/>
      <c r="V149" s="799" t="s">
        <v>597</v>
      </c>
      <c r="W149" s="809"/>
      <c r="X149" s="810"/>
      <c r="Y149" s="811"/>
      <c r="Z149" s="806"/>
      <c r="AA149" s="806"/>
      <c r="AB149" s="806"/>
      <c r="AC149" s="806"/>
      <c r="AD149" s="806"/>
      <c r="AE149" s="799">
        <f>IF($Z$99=1,IF(X148=1,V149,0),0)</f>
        <v>0</v>
      </c>
      <c r="AF149" s="809"/>
      <c r="AG149" s="120"/>
      <c r="AH149" s="120"/>
      <c r="AI149" s="120"/>
      <c r="AJ149" s="120"/>
      <c r="AK149" s="120"/>
    </row>
    <row r="150" spans="1:37">
      <c r="A150" s="216"/>
      <c r="B150" s="123"/>
      <c r="C150" s="123"/>
      <c r="D150" s="132"/>
      <c r="E150" s="132"/>
      <c r="F150" s="217"/>
      <c r="G150" s="120"/>
      <c r="H150" s="120"/>
      <c r="I150" s="120"/>
      <c r="J150" s="120"/>
      <c r="K150" s="120"/>
      <c r="L150" s="120"/>
      <c r="M150" s="120"/>
      <c r="N150" s="803"/>
      <c r="O150" s="797" t="s">
        <v>602</v>
      </c>
      <c r="P150" s="797">
        <v>-1.4</v>
      </c>
      <c r="Q150" s="797">
        <v>-2</v>
      </c>
      <c r="R150" s="797">
        <v>-0.9</v>
      </c>
      <c r="S150" s="797">
        <v>-1.6</v>
      </c>
      <c r="T150" s="797">
        <v>-0.7</v>
      </c>
      <c r="U150" s="797">
        <v>-1.2</v>
      </c>
      <c r="V150" s="799" t="s">
        <v>596</v>
      </c>
      <c r="W150" s="809"/>
      <c r="X150" s="810">
        <f>IF(0.05&lt;=$Z$98,IF($Z$98&lt;0.075,1,0),0)</f>
        <v>0</v>
      </c>
      <c r="Y150" s="812">
        <f>IF($Z$99=1,IF($X$108=1,P150,0),0)</f>
        <v>0</v>
      </c>
      <c r="Z150" s="797">
        <f t="shared" ref="Z150:AD150" si="55">IF($Z$99=1,IF($X$108=1,Q150,0),0)</f>
        <v>0</v>
      </c>
      <c r="AA150" s="797">
        <f t="shared" si="55"/>
        <v>0</v>
      </c>
      <c r="AB150" s="797">
        <f t="shared" si="55"/>
        <v>0</v>
      </c>
      <c r="AC150" s="797">
        <f t="shared" si="55"/>
        <v>0</v>
      </c>
      <c r="AD150" s="797">
        <f t="shared" si="55"/>
        <v>0</v>
      </c>
      <c r="AE150" s="799">
        <f>IF($Z$99=1,IF(X150=1,V150,0),0)</f>
        <v>0</v>
      </c>
      <c r="AF150" s="809"/>
      <c r="AG150" s="120"/>
      <c r="AH150" s="120"/>
      <c r="AI150" s="120"/>
      <c r="AJ150" s="120"/>
      <c r="AK150" s="120"/>
    </row>
    <row r="151" spans="1:37">
      <c r="A151" s="216"/>
      <c r="B151" s="123"/>
      <c r="C151" s="123"/>
      <c r="D151" s="132"/>
      <c r="E151" s="132"/>
      <c r="F151" s="217"/>
      <c r="G151" s="120"/>
      <c r="H151" s="120"/>
      <c r="I151" s="120"/>
      <c r="J151" s="120"/>
      <c r="K151" s="120"/>
      <c r="L151" s="120"/>
      <c r="M151" s="120"/>
      <c r="N151" s="803"/>
      <c r="O151" s="806"/>
      <c r="P151" s="806"/>
      <c r="Q151" s="806"/>
      <c r="R151" s="806"/>
      <c r="S151" s="806"/>
      <c r="T151" s="806"/>
      <c r="U151" s="806"/>
      <c r="V151" s="799" t="s">
        <v>597</v>
      </c>
      <c r="W151" s="809"/>
      <c r="X151" s="810"/>
      <c r="Y151" s="811"/>
      <c r="Z151" s="806"/>
      <c r="AA151" s="806"/>
      <c r="AB151" s="806"/>
      <c r="AC151" s="806"/>
      <c r="AD151" s="806"/>
      <c r="AE151" s="799">
        <f>IF($Z$99=1,IF(X150=1,V151,0),0)</f>
        <v>0</v>
      </c>
      <c r="AF151" s="809"/>
      <c r="AG151" s="120"/>
      <c r="AH151" s="120"/>
      <c r="AI151" s="120"/>
      <c r="AJ151" s="120"/>
      <c r="AK151" s="120"/>
    </row>
    <row r="152" spans="1:37">
      <c r="A152" s="216"/>
      <c r="B152" s="123"/>
      <c r="C152" s="123"/>
      <c r="D152" s="132"/>
      <c r="E152" s="132"/>
      <c r="F152" s="217"/>
      <c r="G152" s="120"/>
      <c r="H152" s="120"/>
      <c r="I152" s="120"/>
      <c r="J152" s="120"/>
      <c r="K152" s="120"/>
      <c r="L152" s="120"/>
      <c r="M152" s="120"/>
      <c r="N152" s="803"/>
      <c r="O152" s="797" t="s">
        <v>603</v>
      </c>
      <c r="P152" s="797">
        <f>(P154+P150)/2</f>
        <v>-1.2999999999999998</v>
      </c>
      <c r="Q152" s="797">
        <f t="shared" ref="Q152:U152" si="56">(Q154+Q150)/2</f>
        <v>-1.9</v>
      </c>
      <c r="R152" s="797">
        <f t="shared" si="56"/>
        <v>-0.85000000000000009</v>
      </c>
      <c r="S152" s="797">
        <f t="shared" si="56"/>
        <v>-1.5</v>
      </c>
      <c r="T152" s="797">
        <f t="shared" si="56"/>
        <v>-0.7</v>
      </c>
      <c r="U152" s="797">
        <f t="shared" si="56"/>
        <v>-1.2</v>
      </c>
      <c r="V152" s="799" t="s">
        <v>596</v>
      </c>
      <c r="W152" s="809"/>
      <c r="X152" s="810">
        <f>IF(0.075&lt;=$Z$98,IF($Z$98&lt;0.1,1,0),0)</f>
        <v>0</v>
      </c>
      <c r="Y152" s="812">
        <f>IF($Z$99=1,IF($X$110=1,P152,0),0)</f>
        <v>0</v>
      </c>
      <c r="Z152" s="797">
        <f t="shared" ref="Z152:AD152" si="57">IF($Z$99=1,IF($X$110=1,Q152,0),0)</f>
        <v>0</v>
      </c>
      <c r="AA152" s="797">
        <f t="shared" si="57"/>
        <v>0</v>
      </c>
      <c r="AB152" s="797">
        <f t="shared" si="57"/>
        <v>0</v>
      </c>
      <c r="AC152" s="797">
        <f t="shared" si="57"/>
        <v>0</v>
      </c>
      <c r="AD152" s="797">
        <f t="shared" si="57"/>
        <v>0</v>
      </c>
      <c r="AE152" s="799">
        <f>IF($Z$99=1,IF(X152=1,V152,0),0)</f>
        <v>0</v>
      </c>
      <c r="AF152" s="809"/>
      <c r="AG152" s="120"/>
      <c r="AH152" s="120"/>
      <c r="AI152" s="120"/>
      <c r="AJ152" s="120"/>
      <c r="AK152" s="120"/>
    </row>
    <row r="153" spans="1:37">
      <c r="A153" s="216"/>
      <c r="B153" s="123"/>
      <c r="C153" s="123"/>
      <c r="D153" s="132"/>
      <c r="E153" s="132"/>
      <c r="F153" s="217"/>
      <c r="G153" s="120"/>
      <c r="H153" s="120"/>
      <c r="I153" s="120"/>
      <c r="J153" s="120"/>
      <c r="K153" s="120"/>
      <c r="L153" s="120"/>
      <c r="M153" s="120"/>
      <c r="N153" s="803"/>
      <c r="O153" s="806"/>
      <c r="P153" s="806"/>
      <c r="Q153" s="806"/>
      <c r="R153" s="806"/>
      <c r="S153" s="806"/>
      <c r="T153" s="806"/>
      <c r="U153" s="806"/>
      <c r="V153" s="799" t="s">
        <v>597</v>
      </c>
      <c r="W153" s="809"/>
      <c r="X153" s="810"/>
      <c r="Y153" s="811"/>
      <c r="Z153" s="806"/>
      <c r="AA153" s="806"/>
      <c r="AB153" s="806"/>
      <c r="AC153" s="806"/>
      <c r="AD153" s="806"/>
      <c r="AE153" s="799">
        <f>IF($Z$99=1,IF(X152=1,V153,0),0)</f>
        <v>0</v>
      </c>
      <c r="AF153" s="809"/>
      <c r="AG153" s="120"/>
      <c r="AH153" s="120"/>
      <c r="AI153" s="120"/>
      <c r="AJ153" s="120"/>
      <c r="AK153" s="120"/>
    </row>
    <row r="154" spans="1:37">
      <c r="A154" s="216"/>
      <c r="B154" s="123"/>
      <c r="C154" s="123"/>
      <c r="D154" s="132"/>
      <c r="E154" s="132"/>
      <c r="F154" s="217"/>
      <c r="G154" s="120"/>
      <c r="H154" s="120"/>
      <c r="I154" s="120"/>
      <c r="J154" s="120"/>
      <c r="K154" s="120"/>
      <c r="L154" s="120"/>
      <c r="M154" s="120"/>
      <c r="N154" s="803"/>
      <c r="O154" s="797" t="s">
        <v>604</v>
      </c>
      <c r="P154" s="797">
        <v>-1.2</v>
      </c>
      <c r="Q154" s="797">
        <v>-1.8</v>
      </c>
      <c r="R154" s="797">
        <v>-0.8</v>
      </c>
      <c r="S154" s="797">
        <v>-1.4</v>
      </c>
      <c r="T154" s="797">
        <v>-0.7</v>
      </c>
      <c r="U154" s="797">
        <v>-1.2</v>
      </c>
      <c r="V154" s="799" t="s">
        <v>596</v>
      </c>
      <c r="W154" s="809"/>
      <c r="X154" s="810">
        <f>IF(0.1&lt;=$Z$98,IF($Z$98&lt;0.125,1,0),0)</f>
        <v>0</v>
      </c>
      <c r="Y154" s="812">
        <f>IF($Z$99=1,IF($X$112=1,P154,0),0)</f>
        <v>0</v>
      </c>
      <c r="Z154" s="797">
        <f t="shared" ref="Z154:AD154" si="58">IF($Z$99=1,IF($X$112=1,Q154,0),0)</f>
        <v>0</v>
      </c>
      <c r="AA154" s="797">
        <f t="shared" si="58"/>
        <v>0</v>
      </c>
      <c r="AB154" s="797">
        <f t="shared" si="58"/>
        <v>0</v>
      </c>
      <c r="AC154" s="797">
        <f t="shared" si="58"/>
        <v>0</v>
      </c>
      <c r="AD154" s="797">
        <f t="shared" si="58"/>
        <v>0</v>
      </c>
      <c r="AE154" s="799">
        <f>IF($Z$99=1,IF(X154=1,V154,0),0)</f>
        <v>0</v>
      </c>
      <c r="AF154" s="809"/>
      <c r="AG154" s="120"/>
      <c r="AH154" s="120"/>
      <c r="AI154" s="120"/>
      <c r="AJ154" s="120"/>
      <c r="AK154" s="120"/>
    </row>
    <row r="155" spans="1:37">
      <c r="A155" s="216"/>
      <c r="B155" s="123"/>
      <c r="C155" s="123"/>
      <c r="D155" s="132"/>
      <c r="E155" s="132"/>
      <c r="F155" s="217"/>
      <c r="G155" s="120"/>
      <c r="H155" s="120"/>
      <c r="I155" s="120"/>
      <c r="J155" s="120"/>
      <c r="K155" s="120"/>
      <c r="L155" s="120"/>
      <c r="M155" s="120"/>
      <c r="N155" s="803"/>
      <c r="O155" s="806"/>
      <c r="P155" s="806"/>
      <c r="Q155" s="806"/>
      <c r="R155" s="806"/>
      <c r="S155" s="806"/>
      <c r="T155" s="806"/>
      <c r="U155" s="806"/>
      <c r="V155" s="799" t="s">
        <v>597</v>
      </c>
      <c r="W155" s="809"/>
      <c r="X155" s="810"/>
      <c r="Y155" s="811"/>
      <c r="Z155" s="806"/>
      <c r="AA155" s="806"/>
      <c r="AB155" s="806"/>
      <c r="AC155" s="806"/>
      <c r="AD155" s="806"/>
      <c r="AE155" s="799">
        <f>IF($Z$99=1,IF(X154=1,V155,0),0)</f>
        <v>0</v>
      </c>
      <c r="AF155" s="809"/>
      <c r="AG155" s="120"/>
      <c r="AH155" s="120"/>
      <c r="AI155" s="120"/>
      <c r="AJ155" s="120"/>
      <c r="AK155" s="120"/>
    </row>
    <row r="156" spans="1:37">
      <c r="A156" s="216"/>
      <c r="B156" s="123"/>
      <c r="C156" s="123"/>
      <c r="D156" s="132"/>
      <c r="E156" s="132"/>
      <c r="F156" s="217"/>
      <c r="G156" s="120"/>
      <c r="H156" s="120"/>
      <c r="I156" s="120"/>
      <c r="J156" s="120"/>
      <c r="K156" s="120"/>
      <c r="L156" s="120"/>
      <c r="M156" s="120"/>
      <c r="N156" s="803"/>
      <c r="O156" s="797" t="s">
        <v>605</v>
      </c>
      <c r="P156" s="797">
        <f>P154+(P152-P150)</f>
        <v>-1.0999999999999999</v>
      </c>
      <c r="Q156" s="797">
        <f t="shared" ref="Q156:U156" si="59">Q154+(Q152-Q150)</f>
        <v>-1.7</v>
      </c>
      <c r="R156" s="797">
        <f t="shared" si="59"/>
        <v>-0.75000000000000011</v>
      </c>
      <c r="S156" s="797">
        <f t="shared" si="59"/>
        <v>-1.2999999999999998</v>
      </c>
      <c r="T156" s="797">
        <f t="shared" si="59"/>
        <v>-0.7</v>
      </c>
      <c r="U156" s="797">
        <f t="shared" si="59"/>
        <v>-1.2</v>
      </c>
      <c r="V156" s="799" t="s">
        <v>596</v>
      </c>
      <c r="W156" s="809"/>
      <c r="X156" s="810">
        <f>IF(0.125&lt;=$Z$98,IF($Z$98&lt;10,1,0),0)</f>
        <v>0</v>
      </c>
      <c r="Y156" s="812">
        <f>IF($Z$99=1,IF($X$114=1,P156,0),0)</f>
        <v>0</v>
      </c>
      <c r="Z156" s="797">
        <f t="shared" ref="Z156:AD156" si="60">IF($Z$99=1,IF($X$114=1,Q156,0),0)</f>
        <v>0</v>
      </c>
      <c r="AA156" s="797">
        <f t="shared" si="60"/>
        <v>0</v>
      </c>
      <c r="AB156" s="797">
        <f t="shared" si="60"/>
        <v>0</v>
      </c>
      <c r="AC156" s="797">
        <f t="shared" si="60"/>
        <v>0</v>
      </c>
      <c r="AD156" s="797">
        <f t="shared" si="60"/>
        <v>0</v>
      </c>
      <c r="AE156" s="799">
        <f>IF($Z$99=1,IF(X156=1,V156,0),0)</f>
        <v>0</v>
      </c>
      <c r="AF156" s="809"/>
      <c r="AG156" s="120"/>
      <c r="AH156" s="120"/>
      <c r="AI156" s="120"/>
      <c r="AJ156" s="120"/>
      <c r="AK156" s="120"/>
    </row>
    <row r="157" spans="1:37" ht="15.75" thickBot="1">
      <c r="A157" s="216"/>
      <c r="B157" s="123"/>
      <c r="C157" s="123"/>
      <c r="D157" s="132"/>
      <c r="E157" s="132"/>
      <c r="F157" s="217"/>
      <c r="G157" s="120"/>
      <c r="H157" s="120"/>
      <c r="I157" s="120"/>
      <c r="J157" s="120"/>
      <c r="K157" s="120"/>
      <c r="L157" s="120"/>
      <c r="M157" s="120"/>
      <c r="N157" s="804"/>
      <c r="O157" s="813"/>
      <c r="P157" s="813"/>
      <c r="Q157" s="813"/>
      <c r="R157" s="813"/>
      <c r="S157" s="813"/>
      <c r="T157" s="813"/>
      <c r="U157" s="813"/>
      <c r="V157" s="814" t="s">
        <v>597</v>
      </c>
      <c r="W157" s="815"/>
      <c r="X157" s="810"/>
      <c r="Y157" s="804"/>
      <c r="Z157" s="813"/>
      <c r="AA157" s="813"/>
      <c r="AB157" s="813"/>
      <c r="AC157" s="813"/>
      <c r="AD157" s="813"/>
      <c r="AE157" s="814">
        <f>IF($Z$99=1,IF(X156=1,V157,0),0)</f>
        <v>0</v>
      </c>
      <c r="AF157" s="815"/>
      <c r="AG157" s="120"/>
      <c r="AH157" s="120"/>
      <c r="AI157" s="120"/>
      <c r="AJ157" s="120"/>
      <c r="AK157" s="120"/>
    </row>
    <row r="158" spans="1:37">
      <c r="A158" s="216"/>
      <c r="B158" s="123"/>
      <c r="C158" s="123"/>
      <c r="D158" s="132"/>
      <c r="E158" s="132"/>
      <c r="F158" s="217"/>
      <c r="G158" s="120"/>
      <c r="H158" s="120"/>
      <c r="I158" s="120"/>
      <c r="J158" s="120"/>
      <c r="K158" s="120"/>
      <c r="L158" s="120"/>
      <c r="M158" s="120"/>
      <c r="N158" s="802" t="s">
        <v>578</v>
      </c>
      <c r="O158" s="805" t="s">
        <v>606</v>
      </c>
      <c r="P158" s="805">
        <f>P160+(P162-P164)</f>
        <v>-1.1499999999999999</v>
      </c>
      <c r="Q158" s="805">
        <f t="shared" ref="Q158:U158" si="61">Q160+(Q162-Q164)</f>
        <v>-1.6500000000000001</v>
      </c>
      <c r="R158" s="805">
        <f t="shared" si="61"/>
        <v>-1.4</v>
      </c>
      <c r="S158" s="805">
        <f t="shared" si="61"/>
        <v>-2</v>
      </c>
      <c r="T158" s="805">
        <f t="shared" si="61"/>
        <v>-0.45</v>
      </c>
      <c r="U158" s="805">
        <f t="shared" si="61"/>
        <v>-0.45</v>
      </c>
      <c r="V158" s="807" t="s">
        <v>596</v>
      </c>
      <c r="W158" s="808"/>
      <c r="X158" s="810">
        <f>IF(0&lt;=$Y$98,IF($Y$98&lt;0.05,1,0),0)</f>
        <v>1</v>
      </c>
      <c r="Y158" s="822">
        <f>IF($Y$99=1,IF($X$116=1,P158,0),0)</f>
        <v>0</v>
      </c>
      <c r="Z158" s="816">
        <f t="shared" ref="Z158:AD158" si="62">IF($Y$99=1,IF($X$116=1,Q158,0),0)</f>
        <v>0</v>
      </c>
      <c r="AA158" s="816">
        <f t="shared" si="62"/>
        <v>0</v>
      </c>
      <c r="AB158" s="816">
        <f t="shared" si="62"/>
        <v>0</v>
      </c>
      <c r="AC158" s="816">
        <f t="shared" si="62"/>
        <v>0</v>
      </c>
      <c r="AD158" s="816">
        <f t="shared" si="62"/>
        <v>0</v>
      </c>
      <c r="AE158" s="818">
        <f>IF($Y$99=1,IF(X158=1,V158,0),0)</f>
        <v>0</v>
      </c>
      <c r="AF158" s="819"/>
      <c r="AG158" s="120"/>
      <c r="AH158" s="120"/>
      <c r="AI158" s="120"/>
      <c r="AJ158" s="120"/>
      <c r="AK158" s="120"/>
    </row>
    <row r="159" spans="1:37">
      <c r="A159" s="216"/>
      <c r="B159" s="123"/>
      <c r="C159" s="123"/>
      <c r="D159" s="132"/>
      <c r="E159" s="132"/>
      <c r="F159" s="217"/>
      <c r="G159" s="120"/>
      <c r="H159" s="120"/>
      <c r="I159" s="120"/>
      <c r="J159" s="120"/>
      <c r="K159" s="120"/>
      <c r="L159" s="120"/>
      <c r="M159" s="120"/>
      <c r="N159" s="803"/>
      <c r="O159" s="806"/>
      <c r="P159" s="806"/>
      <c r="Q159" s="806"/>
      <c r="R159" s="806"/>
      <c r="S159" s="806"/>
      <c r="T159" s="806"/>
      <c r="U159" s="806"/>
      <c r="V159" s="799" t="s">
        <v>597</v>
      </c>
      <c r="W159" s="809"/>
      <c r="X159" s="810"/>
      <c r="Y159" s="823"/>
      <c r="Z159" s="817"/>
      <c r="AA159" s="817"/>
      <c r="AB159" s="817"/>
      <c r="AC159" s="817"/>
      <c r="AD159" s="817"/>
      <c r="AE159" s="820">
        <f>IF($Y$99=1,IF(X158=1,V159,0),0)</f>
        <v>0</v>
      </c>
      <c r="AF159" s="821"/>
      <c r="AG159" s="120"/>
      <c r="AH159" s="120"/>
      <c r="AI159" s="120"/>
      <c r="AJ159" s="120"/>
      <c r="AK159" s="120"/>
    </row>
    <row r="160" spans="1:37">
      <c r="A160" s="216"/>
      <c r="B160" s="123"/>
      <c r="C160" s="123"/>
      <c r="D160" s="132"/>
      <c r="E160" s="132"/>
      <c r="F160" s="217"/>
      <c r="G160" s="120"/>
      <c r="H160" s="120"/>
      <c r="I160" s="120"/>
      <c r="J160" s="120"/>
      <c r="K160" s="120"/>
      <c r="L160" s="120"/>
      <c r="M160" s="120"/>
      <c r="N160" s="803"/>
      <c r="O160" s="797" t="s">
        <v>607</v>
      </c>
      <c r="P160" s="797">
        <v>-1</v>
      </c>
      <c r="Q160" s="797">
        <v>-1.5</v>
      </c>
      <c r="R160" s="797">
        <v>-1.2</v>
      </c>
      <c r="S160" s="797">
        <v>-1.8</v>
      </c>
      <c r="T160" s="782">
        <v>-0.4</v>
      </c>
      <c r="U160" s="782">
        <v>-0.4</v>
      </c>
      <c r="V160" s="799" t="s">
        <v>596</v>
      </c>
      <c r="W160" s="809"/>
      <c r="X160" s="810">
        <f>IF(0.05&lt;=$Y$98,IF($Y$98&lt;0.075,1,0),0)</f>
        <v>0</v>
      </c>
      <c r="Y160" s="823">
        <f>IF($Y$99=1,IF($X$118=1,P160,0),0)</f>
        <v>0</v>
      </c>
      <c r="Z160" s="817">
        <f t="shared" ref="Z160:AD160" si="63">IF($Y$99=1,IF($X$118=1,Q160,0),0)</f>
        <v>0</v>
      </c>
      <c r="AA160" s="817">
        <f t="shared" si="63"/>
        <v>0</v>
      </c>
      <c r="AB160" s="817">
        <f t="shared" si="63"/>
        <v>0</v>
      </c>
      <c r="AC160" s="817">
        <f t="shared" si="63"/>
        <v>0</v>
      </c>
      <c r="AD160" s="817">
        <f t="shared" si="63"/>
        <v>0</v>
      </c>
      <c r="AE160" s="820">
        <f>IF($Y$99=1,IF(X160=1,V160,0),0)</f>
        <v>0</v>
      </c>
      <c r="AF160" s="821"/>
      <c r="AG160" s="120"/>
      <c r="AH160" s="120"/>
      <c r="AI160" s="120"/>
      <c r="AJ160" s="120"/>
      <c r="AK160" s="120"/>
    </row>
    <row r="161" spans="1:37">
      <c r="A161" s="216"/>
      <c r="B161" s="123"/>
      <c r="C161" s="123"/>
      <c r="D161" s="132"/>
      <c r="E161" s="132"/>
      <c r="F161" s="217"/>
      <c r="G161" s="120"/>
      <c r="H161" s="120"/>
      <c r="I161" s="120"/>
      <c r="J161" s="120"/>
      <c r="K161" s="120"/>
      <c r="L161" s="120"/>
      <c r="M161" s="120"/>
      <c r="N161" s="803"/>
      <c r="O161" s="806"/>
      <c r="P161" s="806"/>
      <c r="Q161" s="806"/>
      <c r="R161" s="806"/>
      <c r="S161" s="806"/>
      <c r="T161" s="786"/>
      <c r="U161" s="786"/>
      <c r="V161" s="799" t="s">
        <v>597</v>
      </c>
      <c r="W161" s="809"/>
      <c r="X161" s="810"/>
      <c r="Y161" s="823"/>
      <c r="Z161" s="817"/>
      <c r="AA161" s="817"/>
      <c r="AB161" s="817"/>
      <c r="AC161" s="817"/>
      <c r="AD161" s="817"/>
      <c r="AE161" s="820">
        <f>IF($Y$99=1,IF(X160=1,V161,0),0)</f>
        <v>0</v>
      </c>
      <c r="AF161" s="821"/>
      <c r="AG161" s="120"/>
      <c r="AH161" s="120"/>
      <c r="AI161" s="120"/>
      <c r="AJ161" s="120"/>
      <c r="AK161" s="120"/>
    </row>
    <row r="162" spans="1:37">
      <c r="A162" s="216"/>
      <c r="B162" s="123"/>
      <c r="C162" s="123"/>
      <c r="D162" s="132"/>
      <c r="E162" s="132"/>
      <c r="F162" s="217"/>
      <c r="G162" s="120"/>
      <c r="H162" s="120"/>
      <c r="I162" s="120"/>
      <c r="J162" s="120"/>
      <c r="K162" s="120"/>
      <c r="L162" s="120"/>
      <c r="M162" s="120"/>
      <c r="N162" s="803"/>
      <c r="O162" s="797" t="s">
        <v>608</v>
      </c>
      <c r="P162" s="797">
        <f>(P164+P160)/2</f>
        <v>-0.85</v>
      </c>
      <c r="Q162" s="797">
        <f t="shared" ref="Q162:U162" si="64">(Q164+Q160)/2</f>
        <v>-1.35</v>
      </c>
      <c r="R162" s="797">
        <f t="shared" si="64"/>
        <v>-1</v>
      </c>
      <c r="S162" s="797">
        <f t="shared" si="64"/>
        <v>-1.6</v>
      </c>
      <c r="T162" s="797">
        <f t="shared" si="64"/>
        <v>-0.35</v>
      </c>
      <c r="U162" s="797">
        <f t="shared" si="64"/>
        <v>-0.35</v>
      </c>
      <c r="V162" s="799" t="s">
        <v>596</v>
      </c>
      <c r="W162" s="809"/>
      <c r="X162" s="810">
        <f>IF(0.075&lt;=$Y$98,IF($Y$98&lt;0.1,1,0),0)</f>
        <v>0</v>
      </c>
      <c r="Y162" s="823">
        <f>IF($Y$99=1,IF($X$1120=1,P162,0),0)</f>
        <v>0</v>
      </c>
      <c r="Z162" s="817">
        <f t="shared" ref="Z162:AD162" si="65">IF($Y$99=1,IF($X$1120=1,Q162,0),0)</f>
        <v>0</v>
      </c>
      <c r="AA162" s="817">
        <f t="shared" si="65"/>
        <v>0</v>
      </c>
      <c r="AB162" s="817">
        <f t="shared" si="65"/>
        <v>0</v>
      </c>
      <c r="AC162" s="817">
        <f t="shared" si="65"/>
        <v>0</v>
      </c>
      <c r="AD162" s="817">
        <f t="shared" si="65"/>
        <v>0</v>
      </c>
      <c r="AE162" s="820">
        <f>IF($Y$99=1,IF(X162=1,V162,0),0)</f>
        <v>0</v>
      </c>
      <c r="AF162" s="821"/>
      <c r="AG162" s="120"/>
      <c r="AH162" s="120"/>
      <c r="AI162" s="120"/>
      <c r="AJ162" s="120"/>
      <c r="AK162" s="120"/>
    </row>
    <row r="163" spans="1:37">
      <c r="A163" s="216"/>
      <c r="B163" s="123"/>
      <c r="C163" s="123"/>
      <c r="D163" s="132"/>
      <c r="E163" s="132"/>
      <c r="F163" s="217"/>
      <c r="G163" s="120"/>
      <c r="H163" s="120"/>
      <c r="I163" s="120"/>
      <c r="J163" s="120"/>
      <c r="K163" s="120"/>
      <c r="L163" s="120"/>
      <c r="M163" s="120"/>
      <c r="N163" s="803"/>
      <c r="O163" s="806"/>
      <c r="P163" s="806"/>
      <c r="Q163" s="806"/>
      <c r="R163" s="806"/>
      <c r="S163" s="806"/>
      <c r="T163" s="806"/>
      <c r="U163" s="806"/>
      <c r="V163" s="799" t="s">
        <v>597</v>
      </c>
      <c r="W163" s="809"/>
      <c r="X163" s="810"/>
      <c r="Y163" s="823"/>
      <c r="Z163" s="817"/>
      <c r="AA163" s="817"/>
      <c r="AB163" s="817"/>
      <c r="AC163" s="817"/>
      <c r="AD163" s="817"/>
      <c r="AE163" s="820">
        <f>IF($Y$99=1,IF(X162=1,V163,0),0)</f>
        <v>0</v>
      </c>
      <c r="AF163" s="821"/>
      <c r="AG163" s="120"/>
      <c r="AH163" s="120"/>
      <c r="AI163" s="120"/>
      <c r="AJ163" s="120"/>
      <c r="AK163" s="120"/>
    </row>
    <row r="164" spans="1:37">
      <c r="A164" s="216"/>
      <c r="B164" s="123"/>
      <c r="C164" s="123"/>
      <c r="D164" s="132"/>
      <c r="E164" s="132"/>
      <c r="F164" s="217"/>
      <c r="G164" s="120"/>
      <c r="H164" s="120"/>
      <c r="I164" s="120"/>
      <c r="J164" s="120"/>
      <c r="K164" s="120"/>
      <c r="L164" s="120"/>
      <c r="M164" s="120"/>
      <c r="N164" s="803"/>
      <c r="O164" s="797" t="s">
        <v>609</v>
      </c>
      <c r="P164" s="797">
        <v>-0.7</v>
      </c>
      <c r="Q164" s="797">
        <v>-1.2</v>
      </c>
      <c r="R164" s="797">
        <v>-0.8</v>
      </c>
      <c r="S164" s="797">
        <v>-1.4</v>
      </c>
      <c r="T164" s="782">
        <v>-0.3</v>
      </c>
      <c r="U164" s="782">
        <v>-0.3</v>
      </c>
      <c r="V164" s="799" t="s">
        <v>596</v>
      </c>
      <c r="W164" s="809"/>
      <c r="X164" s="810">
        <f>IF(0.1&lt;=$Y$98,IF($Y$98&lt;0.15,1,0),0)</f>
        <v>0</v>
      </c>
      <c r="Y164" s="823">
        <f>IF($Y$99=1,IF($X$122=1,P164,0),0)</f>
        <v>0</v>
      </c>
      <c r="Z164" s="817">
        <f t="shared" ref="Z164:AD164" si="66">IF($Y$99=1,IF($X$122=1,Q164,0),0)</f>
        <v>0</v>
      </c>
      <c r="AA164" s="817">
        <f t="shared" si="66"/>
        <v>0</v>
      </c>
      <c r="AB164" s="817">
        <f t="shared" si="66"/>
        <v>0</v>
      </c>
      <c r="AC164" s="817">
        <f t="shared" si="66"/>
        <v>0</v>
      </c>
      <c r="AD164" s="817">
        <f t="shared" si="66"/>
        <v>0</v>
      </c>
      <c r="AE164" s="820">
        <f>IF($Y$99=1,IF(X164=1,V164,0),0)</f>
        <v>0</v>
      </c>
      <c r="AF164" s="821"/>
      <c r="AG164" s="120"/>
      <c r="AH164" s="120"/>
      <c r="AI164" s="120"/>
      <c r="AJ164" s="120"/>
      <c r="AK164" s="120"/>
    </row>
    <row r="165" spans="1:37">
      <c r="A165" s="216"/>
      <c r="B165" s="123"/>
      <c r="C165" s="123"/>
      <c r="D165" s="132"/>
      <c r="E165" s="132"/>
      <c r="F165" s="217"/>
      <c r="G165" s="120"/>
      <c r="H165" s="120"/>
      <c r="I165" s="120"/>
      <c r="J165" s="120"/>
      <c r="K165" s="120"/>
      <c r="L165" s="120"/>
      <c r="M165" s="120"/>
      <c r="N165" s="803"/>
      <c r="O165" s="806"/>
      <c r="P165" s="806"/>
      <c r="Q165" s="806"/>
      <c r="R165" s="806"/>
      <c r="S165" s="806"/>
      <c r="T165" s="786"/>
      <c r="U165" s="786"/>
      <c r="V165" s="799" t="s">
        <v>597</v>
      </c>
      <c r="W165" s="809"/>
      <c r="X165" s="810"/>
      <c r="Y165" s="823"/>
      <c r="Z165" s="817"/>
      <c r="AA165" s="817"/>
      <c r="AB165" s="817"/>
      <c r="AC165" s="817"/>
      <c r="AD165" s="817"/>
      <c r="AE165" s="820">
        <f>IF($Y$99=1,IF(X164=1,V165,0),0)</f>
        <v>0</v>
      </c>
      <c r="AF165" s="821"/>
      <c r="AG165" s="120"/>
      <c r="AH165" s="120"/>
      <c r="AI165" s="120"/>
      <c r="AJ165" s="120"/>
      <c r="AK165" s="120"/>
    </row>
    <row r="166" spans="1:37">
      <c r="A166" s="216"/>
      <c r="B166" s="123"/>
      <c r="C166" s="123"/>
      <c r="D166" s="132"/>
      <c r="E166" s="132"/>
      <c r="F166" s="217"/>
      <c r="G166" s="120"/>
      <c r="H166" s="120"/>
      <c r="I166" s="120"/>
      <c r="J166" s="120"/>
      <c r="K166" s="120"/>
      <c r="L166" s="120"/>
      <c r="M166" s="120"/>
      <c r="N166" s="803"/>
      <c r="O166" s="797" t="s">
        <v>610</v>
      </c>
      <c r="P166" s="797">
        <f>(P168+P164)/2</f>
        <v>-0.6</v>
      </c>
      <c r="Q166" s="797">
        <f t="shared" ref="Q166:U166" si="67">(Q168+Q164)/2</f>
        <v>-1</v>
      </c>
      <c r="R166" s="797">
        <f t="shared" si="67"/>
        <v>-0.65</v>
      </c>
      <c r="S166" s="797">
        <f t="shared" si="67"/>
        <v>-1.1000000000000001</v>
      </c>
      <c r="T166" s="797">
        <f t="shared" si="67"/>
        <v>-0.3</v>
      </c>
      <c r="U166" s="797">
        <f t="shared" si="67"/>
        <v>-0.3</v>
      </c>
      <c r="V166" s="799" t="s">
        <v>596</v>
      </c>
      <c r="W166" s="809"/>
      <c r="X166" s="810">
        <f>IF(0.15&lt;=$Y$98,IF($Y$98&lt;0.2,1,0),0)</f>
        <v>0</v>
      </c>
      <c r="Y166" s="823">
        <f>IF($Y$99=1,IF($X$124=1,P166,0),0)</f>
        <v>0</v>
      </c>
      <c r="Z166" s="817">
        <f t="shared" ref="Z166:AD166" si="68">IF($Y$99=1,IF($X$124=1,Q166,0),0)</f>
        <v>0</v>
      </c>
      <c r="AA166" s="817">
        <f t="shared" si="68"/>
        <v>0</v>
      </c>
      <c r="AB166" s="817">
        <f t="shared" si="68"/>
        <v>0</v>
      </c>
      <c r="AC166" s="817">
        <f t="shared" si="68"/>
        <v>0</v>
      </c>
      <c r="AD166" s="817">
        <f t="shared" si="68"/>
        <v>0</v>
      </c>
      <c r="AE166" s="820">
        <f>IF($Y$99=1,IF(X166=1,V166,0),0)</f>
        <v>0</v>
      </c>
      <c r="AF166" s="821"/>
      <c r="AG166" s="120"/>
      <c r="AH166" s="120"/>
      <c r="AI166" s="120"/>
      <c r="AJ166" s="120"/>
      <c r="AK166" s="120"/>
    </row>
    <row r="167" spans="1:37">
      <c r="A167" s="216"/>
      <c r="B167" s="123"/>
      <c r="C167" s="123"/>
      <c r="D167" s="132"/>
      <c r="E167" s="132"/>
      <c r="F167" s="217"/>
      <c r="G167" s="120"/>
      <c r="H167" s="120"/>
      <c r="I167" s="120"/>
      <c r="J167" s="120"/>
      <c r="K167" s="120"/>
      <c r="L167" s="120"/>
      <c r="M167" s="120"/>
      <c r="N167" s="803"/>
      <c r="O167" s="806"/>
      <c r="P167" s="806"/>
      <c r="Q167" s="806"/>
      <c r="R167" s="806"/>
      <c r="S167" s="806"/>
      <c r="T167" s="806"/>
      <c r="U167" s="806"/>
      <c r="V167" s="799" t="s">
        <v>597</v>
      </c>
      <c r="W167" s="809"/>
      <c r="X167" s="810"/>
      <c r="Y167" s="823"/>
      <c r="Z167" s="817"/>
      <c r="AA167" s="817"/>
      <c r="AB167" s="817"/>
      <c r="AC167" s="817"/>
      <c r="AD167" s="817"/>
      <c r="AE167" s="820">
        <f>IF($Y$99=1,IF(X166=1,V167,0),0)</f>
        <v>0</v>
      </c>
      <c r="AF167" s="821"/>
      <c r="AG167" s="120"/>
      <c r="AH167" s="120"/>
      <c r="AI167" s="120"/>
      <c r="AJ167" s="120"/>
      <c r="AK167" s="120"/>
    </row>
    <row r="168" spans="1:37">
      <c r="A168" s="216"/>
      <c r="B168" s="123"/>
      <c r="C168" s="123"/>
      <c r="D168" s="132"/>
      <c r="E168" s="132"/>
      <c r="F168" s="217"/>
      <c r="G168" s="120"/>
      <c r="H168" s="120"/>
      <c r="I168" s="120"/>
      <c r="J168" s="120"/>
      <c r="K168" s="120"/>
      <c r="L168" s="120"/>
      <c r="M168" s="120"/>
      <c r="N168" s="803"/>
      <c r="O168" s="797" t="s">
        <v>611</v>
      </c>
      <c r="P168" s="797">
        <v>-0.5</v>
      </c>
      <c r="Q168" s="797">
        <v>-0.8</v>
      </c>
      <c r="R168" s="797">
        <v>-0.5</v>
      </c>
      <c r="S168" s="797">
        <v>-0.8</v>
      </c>
      <c r="T168" s="782">
        <v>-0.3</v>
      </c>
      <c r="U168" s="782">
        <v>-0.3</v>
      </c>
      <c r="V168" s="799" t="s">
        <v>596</v>
      </c>
      <c r="W168" s="809"/>
      <c r="X168" s="810">
        <f>IF(0.2&lt;=$Y$98,IF($Y$98&lt;0.25,1,0),0)</f>
        <v>0</v>
      </c>
      <c r="Y168" s="823">
        <f>IF($Y$99=1,IF($X$126=1,P168,0),0)</f>
        <v>0</v>
      </c>
      <c r="Z168" s="817">
        <f t="shared" ref="Z168:AD168" si="69">IF($Y$99=1,IF($X$126=1,Q168,0),0)</f>
        <v>0</v>
      </c>
      <c r="AA168" s="817">
        <f t="shared" si="69"/>
        <v>0</v>
      </c>
      <c r="AB168" s="817">
        <f t="shared" si="69"/>
        <v>0</v>
      </c>
      <c r="AC168" s="817">
        <f t="shared" si="69"/>
        <v>0</v>
      </c>
      <c r="AD168" s="817">
        <f t="shared" si="69"/>
        <v>0</v>
      </c>
      <c r="AE168" s="820">
        <f>IF($Y$99=1,IF(X168=1,V168,0),0)</f>
        <v>0</v>
      </c>
      <c r="AF168" s="821"/>
      <c r="AG168" s="120"/>
      <c r="AH168" s="120"/>
      <c r="AI168" s="120"/>
      <c r="AJ168" s="120"/>
      <c r="AK168" s="120"/>
    </row>
    <row r="169" spans="1:37">
      <c r="A169" s="216"/>
      <c r="B169" s="123"/>
      <c r="C169" s="123"/>
      <c r="D169" s="132"/>
      <c r="E169" s="132"/>
      <c r="F169" s="217"/>
      <c r="G169" s="120"/>
      <c r="H169" s="120"/>
      <c r="I169" s="120"/>
      <c r="J169" s="120"/>
      <c r="K169" s="120"/>
      <c r="L169" s="120"/>
      <c r="M169" s="120"/>
      <c r="N169" s="803"/>
      <c r="O169" s="806"/>
      <c r="P169" s="806"/>
      <c r="Q169" s="806"/>
      <c r="R169" s="806"/>
      <c r="S169" s="806"/>
      <c r="T169" s="786"/>
      <c r="U169" s="786"/>
      <c r="V169" s="799" t="s">
        <v>597</v>
      </c>
      <c r="W169" s="809"/>
      <c r="X169" s="810"/>
      <c r="Y169" s="823"/>
      <c r="Z169" s="817"/>
      <c r="AA169" s="817"/>
      <c r="AB169" s="817"/>
      <c r="AC169" s="817"/>
      <c r="AD169" s="817"/>
      <c r="AE169" s="820">
        <f>IF($Y$99=1,IF(X168=1,V169,0),0)</f>
        <v>0</v>
      </c>
      <c r="AF169" s="821"/>
      <c r="AG169" s="120"/>
      <c r="AH169" s="120"/>
      <c r="AI169" s="120"/>
      <c r="AJ169" s="120"/>
      <c r="AK169" s="120"/>
    </row>
    <row r="170" spans="1:37">
      <c r="A170" s="216"/>
      <c r="B170" s="123"/>
      <c r="C170" s="123"/>
      <c r="D170" s="132"/>
      <c r="E170" s="132"/>
      <c r="F170" s="217"/>
      <c r="G170" s="120"/>
      <c r="H170" s="120"/>
      <c r="I170" s="120"/>
      <c r="J170" s="120"/>
      <c r="K170" s="120"/>
      <c r="L170" s="120"/>
      <c r="M170" s="120"/>
      <c r="N170" s="803"/>
      <c r="O170" s="797" t="s">
        <v>612</v>
      </c>
      <c r="P170" s="797">
        <f>P168+(P166-P164)</f>
        <v>-0.4</v>
      </c>
      <c r="Q170" s="797">
        <f t="shared" ref="Q170:U170" si="70">Q168+(Q166-Q164)</f>
        <v>-0.60000000000000009</v>
      </c>
      <c r="R170" s="797">
        <f t="shared" si="70"/>
        <v>-0.35</v>
      </c>
      <c r="S170" s="797">
        <f t="shared" si="70"/>
        <v>-0.50000000000000022</v>
      </c>
      <c r="T170" s="797">
        <f t="shared" si="70"/>
        <v>-0.3</v>
      </c>
      <c r="U170" s="797">
        <f t="shared" si="70"/>
        <v>-0.3</v>
      </c>
      <c r="V170" s="799" t="s">
        <v>596</v>
      </c>
      <c r="W170" s="809"/>
      <c r="X170" s="810">
        <f>IF(0.25&lt;=$Y$98,IF($Y$98&lt;10,1,0),0)</f>
        <v>0</v>
      </c>
      <c r="Y170" s="823">
        <f>IF($Y$99=1,IF($X$128=1,P170,0),0)</f>
        <v>0</v>
      </c>
      <c r="Z170" s="817">
        <f t="shared" ref="Z170:AD170" si="71">IF($Y$99=1,IF($X$128=1,Q170,0),0)</f>
        <v>0</v>
      </c>
      <c r="AA170" s="817">
        <f t="shared" si="71"/>
        <v>0</v>
      </c>
      <c r="AB170" s="817">
        <f t="shared" si="71"/>
        <v>0</v>
      </c>
      <c r="AC170" s="817">
        <f t="shared" si="71"/>
        <v>0</v>
      </c>
      <c r="AD170" s="817">
        <f t="shared" si="71"/>
        <v>0</v>
      </c>
      <c r="AE170" s="820">
        <f>IF($Y$99=1,IF(X170=1,V170,0),0)</f>
        <v>0</v>
      </c>
      <c r="AF170" s="821"/>
      <c r="AG170" s="120"/>
      <c r="AH170" s="120"/>
      <c r="AI170" s="120"/>
      <c r="AJ170" s="120"/>
      <c r="AK170" s="120"/>
    </row>
    <row r="171" spans="1:37" ht="15.75" thickBot="1">
      <c r="A171" s="216"/>
      <c r="B171" s="123"/>
      <c r="C171" s="123"/>
      <c r="D171" s="132"/>
      <c r="E171" s="132"/>
      <c r="F171" s="217"/>
      <c r="G171" s="120"/>
      <c r="H171" s="120"/>
      <c r="I171" s="120"/>
      <c r="J171" s="120"/>
      <c r="K171" s="120"/>
      <c r="L171" s="120"/>
      <c r="M171" s="120"/>
      <c r="N171" s="803"/>
      <c r="O171" s="798"/>
      <c r="P171" s="798"/>
      <c r="Q171" s="798"/>
      <c r="R171" s="798"/>
      <c r="S171" s="798"/>
      <c r="T171" s="798"/>
      <c r="U171" s="798"/>
      <c r="V171" s="801" t="s">
        <v>597</v>
      </c>
      <c r="W171" s="825"/>
      <c r="X171" s="810"/>
      <c r="Y171" s="828"/>
      <c r="Z171" s="824"/>
      <c r="AA171" s="824"/>
      <c r="AB171" s="824"/>
      <c r="AC171" s="824"/>
      <c r="AD171" s="824"/>
      <c r="AE171" s="826">
        <f>IF($Y$99=1,IF(X170=1,V171,0),0)</f>
        <v>0</v>
      </c>
      <c r="AF171" s="827"/>
      <c r="AG171" s="120"/>
      <c r="AH171" s="120"/>
      <c r="AI171" s="120"/>
      <c r="AJ171" s="120"/>
      <c r="AK171" s="120"/>
    </row>
    <row r="172" spans="1:37">
      <c r="A172" s="216"/>
      <c r="B172" s="123"/>
      <c r="C172" s="123"/>
      <c r="D172" s="132"/>
      <c r="E172" s="132"/>
      <c r="F172" s="217"/>
      <c r="G172" s="120"/>
      <c r="H172" s="120"/>
      <c r="I172" s="120"/>
      <c r="J172" s="120"/>
      <c r="K172" s="120"/>
      <c r="L172" s="120"/>
      <c r="M172" s="120"/>
      <c r="N172" s="802" t="s">
        <v>581</v>
      </c>
      <c r="O172" s="805" t="s">
        <v>613</v>
      </c>
      <c r="P172" s="805">
        <f>P174+(P176-P178)</f>
        <v>-0.90000000000000013</v>
      </c>
      <c r="Q172" s="805">
        <f t="shared" ref="Q172:U172" si="72">Q174+(Q176-Q178)</f>
        <v>-1.3499999999999999</v>
      </c>
      <c r="R172" s="805">
        <f t="shared" si="72"/>
        <v>-0.84999999999999987</v>
      </c>
      <c r="S172" s="805">
        <f t="shared" si="72"/>
        <v>-1.3</v>
      </c>
      <c r="T172" s="805">
        <f t="shared" si="72"/>
        <v>-0.24999999999999994</v>
      </c>
      <c r="U172" s="805">
        <f t="shared" si="72"/>
        <v>-0.24999999999999994</v>
      </c>
      <c r="V172" s="807" t="s">
        <v>596</v>
      </c>
      <c r="W172" s="808"/>
      <c r="X172" s="810">
        <f>IF(0&lt;=$AA$98,IF($AA$98&lt;22.5,1,0),0)</f>
        <v>1</v>
      </c>
      <c r="Y172" s="822">
        <f>IF($AA$99=1,IF($X$130=1,P172,0),0)</f>
        <v>0</v>
      </c>
      <c r="Z172" s="816">
        <f t="shared" ref="Z172:AD172" si="73">IF($AA$99=1,IF($X$130=1,Q172,0),0)</f>
        <v>0</v>
      </c>
      <c r="AA172" s="816">
        <f t="shared" si="73"/>
        <v>0</v>
      </c>
      <c r="AB172" s="816">
        <f t="shared" si="73"/>
        <v>0</v>
      </c>
      <c r="AC172" s="816">
        <f t="shared" si="73"/>
        <v>0</v>
      </c>
      <c r="AD172" s="816">
        <f t="shared" si="73"/>
        <v>0</v>
      </c>
      <c r="AE172" s="829">
        <f>IF($AA$99=1,IF(X172=1,V172,0),0)</f>
        <v>0</v>
      </c>
      <c r="AF172" s="808"/>
      <c r="AG172" s="120"/>
      <c r="AH172" s="120"/>
      <c r="AI172" s="120"/>
      <c r="AJ172" s="120"/>
      <c r="AK172" s="120"/>
    </row>
    <row r="173" spans="1:37">
      <c r="A173" s="216"/>
      <c r="B173" s="123"/>
      <c r="C173" s="123"/>
      <c r="D173" s="132"/>
      <c r="E173" s="132"/>
      <c r="F173" s="217"/>
      <c r="G173" s="120"/>
      <c r="H173" s="120"/>
      <c r="I173" s="120"/>
      <c r="J173" s="120"/>
      <c r="K173" s="120"/>
      <c r="L173" s="120"/>
      <c r="M173" s="120"/>
      <c r="N173" s="803"/>
      <c r="O173" s="806"/>
      <c r="P173" s="806"/>
      <c r="Q173" s="806"/>
      <c r="R173" s="806"/>
      <c r="S173" s="806"/>
      <c r="T173" s="806"/>
      <c r="U173" s="806"/>
      <c r="V173" s="799" t="s">
        <v>597</v>
      </c>
      <c r="W173" s="809"/>
      <c r="X173" s="810"/>
      <c r="Y173" s="823"/>
      <c r="Z173" s="817"/>
      <c r="AA173" s="817"/>
      <c r="AB173" s="817"/>
      <c r="AC173" s="817"/>
      <c r="AD173" s="817"/>
      <c r="AE173" s="830">
        <f>IF($AA$99=1,IF(X172=1,V173,0),0)</f>
        <v>0</v>
      </c>
      <c r="AF173" s="809"/>
      <c r="AG173" s="120"/>
      <c r="AH173" s="120"/>
      <c r="AI173" s="120"/>
      <c r="AJ173" s="120"/>
      <c r="AK173" s="120"/>
    </row>
    <row r="174" spans="1:37">
      <c r="A174" s="216"/>
      <c r="B174" s="123"/>
      <c r="C174" s="123"/>
      <c r="D174" s="132"/>
      <c r="E174" s="132"/>
      <c r="F174" s="217"/>
      <c r="G174" s="120"/>
      <c r="H174" s="120"/>
      <c r="I174" s="120"/>
      <c r="J174" s="120"/>
      <c r="K174" s="120"/>
      <c r="L174" s="120"/>
      <c r="M174" s="120"/>
      <c r="N174" s="803"/>
      <c r="O174" s="797" t="s">
        <v>614</v>
      </c>
      <c r="P174" s="797">
        <v>-1</v>
      </c>
      <c r="Q174" s="797">
        <v>-1.5</v>
      </c>
      <c r="R174" s="797">
        <v>-1</v>
      </c>
      <c r="S174" s="797">
        <v>-1.5</v>
      </c>
      <c r="T174" s="782">
        <v>-0.3</v>
      </c>
      <c r="U174" s="782">
        <v>-0.3</v>
      </c>
      <c r="V174" s="799" t="s">
        <v>596</v>
      </c>
      <c r="W174" s="809"/>
      <c r="X174" s="810">
        <f>IF(22.5&lt;=$AA$98,IF($AA$98&lt;30,1,0),0)</f>
        <v>0</v>
      </c>
      <c r="Y174" s="823">
        <f>IF($AA$99=1,IF($X$132=1,P174,0),0)</f>
        <v>0</v>
      </c>
      <c r="Z174" s="817">
        <f t="shared" ref="Z174:AD174" si="74">IF($AA$99=1,IF($X$132=1,Q174,0),0)</f>
        <v>0</v>
      </c>
      <c r="AA174" s="817">
        <f t="shared" si="74"/>
        <v>0</v>
      </c>
      <c r="AB174" s="817">
        <f t="shared" si="74"/>
        <v>0</v>
      </c>
      <c r="AC174" s="817">
        <f t="shared" si="74"/>
        <v>0</v>
      </c>
      <c r="AD174" s="817">
        <f t="shared" si="74"/>
        <v>0</v>
      </c>
      <c r="AE174" s="830">
        <f>IF($AA$99=1,IF(X174=1,V174,0),0)</f>
        <v>0</v>
      </c>
      <c r="AF174" s="809"/>
      <c r="AG174" s="120"/>
      <c r="AH174" s="120"/>
      <c r="AI174" s="120"/>
      <c r="AJ174" s="120"/>
      <c r="AK174" s="120"/>
    </row>
    <row r="175" spans="1:37">
      <c r="A175" s="216"/>
      <c r="B175" s="123"/>
      <c r="C175" s="123"/>
      <c r="D175" s="132"/>
      <c r="E175" s="132"/>
      <c r="F175" s="217"/>
      <c r="G175" s="120"/>
      <c r="H175" s="120"/>
      <c r="I175" s="120"/>
      <c r="J175" s="120"/>
      <c r="K175" s="120"/>
      <c r="L175" s="120"/>
      <c r="M175" s="120"/>
      <c r="N175" s="803"/>
      <c r="O175" s="806"/>
      <c r="P175" s="806"/>
      <c r="Q175" s="806"/>
      <c r="R175" s="806"/>
      <c r="S175" s="806"/>
      <c r="T175" s="786"/>
      <c r="U175" s="786"/>
      <c r="V175" s="799" t="s">
        <v>597</v>
      </c>
      <c r="W175" s="809"/>
      <c r="X175" s="810"/>
      <c r="Y175" s="823"/>
      <c r="Z175" s="817"/>
      <c r="AA175" s="817"/>
      <c r="AB175" s="817"/>
      <c r="AC175" s="817"/>
      <c r="AD175" s="817"/>
      <c r="AE175" s="830">
        <f>IF($AA$99=1,IF(X174=1,V175,0),0)</f>
        <v>0</v>
      </c>
      <c r="AF175" s="809"/>
      <c r="AG175" s="120"/>
      <c r="AH175" s="120"/>
      <c r="AI175" s="120"/>
      <c r="AJ175" s="120"/>
      <c r="AK175" s="120"/>
    </row>
    <row r="176" spans="1:37">
      <c r="A176" s="216"/>
      <c r="B176" s="123"/>
      <c r="C176" s="123"/>
      <c r="D176" s="132"/>
      <c r="E176" s="132"/>
      <c r="F176" s="217"/>
      <c r="G176" s="120"/>
      <c r="H176" s="120"/>
      <c r="I176" s="120"/>
      <c r="J176" s="120"/>
      <c r="K176" s="120"/>
      <c r="L176" s="120"/>
      <c r="M176" s="120"/>
      <c r="N176" s="803"/>
      <c r="O176" s="797" t="s">
        <v>615</v>
      </c>
      <c r="P176" s="797">
        <f>(P178+P174)/2</f>
        <v>-1.1000000000000001</v>
      </c>
      <c r="Q176" s="797">
        <f t="shared" ref="Q176:U176" si="75">(Q178+Q174)/2</f>
        <v>-1.65</v>
      </c>
      <c r="R176" s="797">
        <f t="shared" si="75"/>
        <v>-1.1499999999999999</v>
      </c>
      <c r="S176" s="797">
        <f t="shared" si="75"/>
        <v>-1.7</v>
      </c>
      <c r="T176" s="797">
        <f t="shared" si="75"/>
        <v>-0.35</v>
      </c>
      <c r="U176" s="797">
        <f t="shared" si="75"/>
        <v>-0.35</v>
      </c>
      <c r="V176" s="799" t="s">
        <v>596</v>
      </c>
      <c r="W176" s="809"/>
      <c r="X176" s="810">
        <f>IF(30&lt;=$AA$98,IF($AA$98&lt;37.5,1,0),0)</f>
        <v>0</v>
      </c>
      <c r="Y176" s="823">
        <f>IF($AA$99=1,IF($X$134=1,P176,0),0)</f>
        <v>0</v>
      </c>
      <c r="Z176" s="817">
        <f t="shared" ref="Z176:AD176" si="76">IF($AA$99=1,IF($X$134=1,Q176,0),0)</f>
        <v>0</v>
      </c>
      <c r="AA176" s="817">
        <f t="shared" si="76"/>
        <v>0</v>
      </c>
      <c r="AB176" s="817">
        <f t="shared" si="76"/>
        <v>0</v>
      </c>
      <c r="AC176" s="817">
        <f t="shared" si="76"/>
        <v>0</v>
      </c>
      <c r="AD176" s="817">
        <f t="shared" si="76"/>
        <v>0</v>
      </c>
      <c r="AE176" s="830">
        <f>IF($AA$99=1,IF(X176=1,V176,0),0)</f>
        <v>0</v>
      </c>
      <c r="AF176" s="809"/>
      <c r="AG176" s="120"/>
      <c r="AH176" s="120"/>
      <c r="AI176" s="120"/>
      <c r="AJ176" s="120"/>
      <c r="AK176" s="120"/>
    </row>
    <row r="177" spans="1:37">
      <c r="A177" s="216"/>
      <c r="B177" s="123"/>
      <c r="C177" s="123"/>
      <c r="D177" s="132"/>
      <c r="E177" s="132"/>
      <c r="F177" s="217"/>
      <c r="G177" s="120"/>
      <c r="H177" s="120"/>
      <c r="I177" s="120"/>
      <c r="J177" s="120"/>
      <c r="K177" s="120"/>
      <c r="L177" s="120"/>
      <c r="M177" s="120"/>
      <c r="N177" s="803"/>
      <c r="O177" s="806"/>
      <c r="P177" s="806"/>
      <c r="Q177" s="806"/>
      <c r="R177" s="806"/>
      <c r="S177" s="806"/>
      <c r="T177" s="806"/>
      <c r="U177" s="806"/>
      <c r="V177" s="799" t="s">
        <v>597</v>
      </c>
      <c r="W177" s="809"/>
      <c r="X177" s="810"/>
      <c r="Y177" s="823"/>
      <c r="Z177" s="817"/>
      <c r="AA177" s="817"/>
      <c r="AB177" s="817"/>
      <c r="AC177" s="817"/>
      <c r="AD177" s="817"/>
      <c r="AE177" s="830">
        <f>IF($AA$99=1,IF(X176=1,V177,0),0)</f>
        <v>0</v>
      </c>
      <c r="AF177" s="809"/>
      <c r="AG177" s="120"/>
      <c r="AH177" s="120"/>
      <c r="AI177" s="120"/>
      <c r="AJ177" s="120"/>
      <c r="AK177" s="120"/>
    </row>
    <row r="178" spans="1:37">
      <c r="A178" s="216"/>
      <c r="B178" s="123"/>
      <c r="C178" s="123"/>
      <c r="D178" s="132"/>
      <c r="E178" s="132"/>
      <c r="F178" s="217"/>
      <c r="G178" s="120"/>
      <c r="H178" s="120"/>
      <c r="I178" s="120"/>
      <c r="J178" s="120"/>
      <c r="K178" s="120"/>
      <c r="L178" s="120"/>
      <c r="M178" s="120"/>
      <c r="N178" s="803"/>
      <c r="O178" s="797" t="s">
        <v>616</v>
      </c>
      <c r="P178" s="797">
        <v>-1.2</v>
      </c>
      <c r="Q178" s="797">
        <v>-1.8</v>
      </c>
      <c r="R178" s="797">
        <v>-1.3</v>
      </c>
      <c r="S178" s="797">
        <v>-1.9</v>
      </c>
      <c r="T178" s="782">
        <v>-0.4</v>
      </c>
      <c r="U178" s="782">
        <v>-0.4</v>
      </c>
      <c r="V178" s="799" t="s">
        <v>596</v>
      </c>
      <c r="W178" s="809"/>
      <c r="X178" s="810">
        <f>IF(37.5&lt;=$AA$98,IF($AA$98&lt;45,1,0),0)</f>
        <v>0</v>
      </c>
      <c r="Y178" s="823">
        <f>IF($AA$99=1,IF($X$136=1,P178,0),0)</f>
        <v>0</v>
      </c>
      <c r="Z178" s="817">
        <f t="shared" ref="Z178:AD178" si="77">IF($AA$99=1,IF($X$136=1,Q178,0),0)</f>
        <v>0</v>
      </c>
      <c r="AA178" s="817">
        <f t="shared" si="77"/>
        <v>0</v>
      </c>
      <c r="AB178" s="817">
        <f t="shared" si="77"/>
        <v>0</v>
      </c>
      <c r="AC178" s="817">
        <f t="shared" si="77"/>
        <v>0</v>
      </c>
      <c r="AD178" s="817">
        <f t="shared" si="77"/>
        <v>0</v>
      </c>
      <c r="AE178" s="830">
        <f>IF($AA$99=1,IF(X178=1,V178,0),0)</f>
        <v>0</v>
      </c>
      <c r="AF178" s="809"/>
      <c r="AG178" s="120"/>
      <c r="AH178" s="120"/>
      <c r="AI178" s="120"/>
      <c r="AJ178" s="120"/>
      <c r="AK178" s="120"/>
    </row>
    <row r="179" spans="1:37">
      <c r="A179" s="216"/>
      <c r="B179" s="123"/>
      <c r="C179" s="123"/>
      <c r="D179" s="132"/>
      <c r="E179" s="132"/>
      <c r="F179" s="217"/>
      <c r="G179" s="120"/>
      <c r="H179" s="120"/>
      <c r="I179" s="120"/>
      <c r="J179" s="120"/>
      <c r="K179" s="120"/>
      <c r="L179" s="120"/>
      <c r="M179" s="120"/>
      <c r="N179" s="803"/>
      <c r="O179" s="806"/>
      <c r="P179" s="806"/>
      <c r="Q179" s="806"/>
      <c r="R179" s="806"/>
      <c r="S179" s="806"/>
      <c r="T179" s="786"/>
      <c r="U179" s="786"/>
      <c r="V179" s="799" t="s">
        <v>597</v>
      </c>
      <c r="W179" s="809"/>
      <c r="X179" s="810"/>
      <c r="Y179" s="823"/>
      <c r="Z179" s="817"/>
      <c r="AA179" s="817"/>
      <c r="AB179" s="817"/>
      <c r="AC179" s="817"/>
      <c r="AD179" s="817"/>
      <c r="AE179" s="830">
        <f>IF($AA$99=1,IF(X178=1,V179,0),0)</f>
        <v>0</v>
      </c>
      <c r="AF179" s="809"/>
      <c r="AG179" s="120"/>
      <c r="AH179" s="120"/>
      <c r="AI179" s="120"/>
      <c r="AJ179" s="120"/>
      <c r="AK179" s="120"/>
    </row>
    <row r="180" spans="1:37">
      <c r="A180" s="216"/>
      <c r="B180" s="123"/>
      <c r="C180" s="123"/>
      <c r="D180" s="132"/>
      <c r="E180" s="132"/>
      <c r="F180" s="217"/>
      <c r="G180" s="120"/>
      <c r="H180" s="120"/>
      <c r="I180" s="120"/>
      <c r="J180" s="120"/>
      <c r="K180" s="120"/>
      <c r="L180" s="120"/>
      <c r="M180" s="120"/>
      <c r="N180" s="803"/>
      <c r="O180" s="797" t="s">
        <v>617</v>
      </c>
      <c r="P180" s="797">
        <f>(P182+P178)/2</f>
        <v>-1.25</v>
      </c>
      <c r="Q180" s="797">
        <f t="shared" ref="Q180:U180" si="78">(Q182+Q178)/2</f>
        <v>-1.85</v>
      </c>
      <c r="R180" s="797">
        <f t="shared" si="78"/>
        <v>-1.3</v>
      </c>
      <c r="S180" s="797">
        <f t="shared" si="78"/>
        <v>-1.9</v>
      </c>
      <c r="T180" s="797">
        <f t="shared" si="78"/>
        <v>-0.45</v>
      </c>
      <c r="U180" s="797">
        <f t="shared" si="78"/>
        <v>-0.45</v>
      </c>
      <c r="V180" s="799" t="s">
        <v>596</v>
      </c>
      <c r="W180" s="809"/>
      <c r="X180" s="810">
        <f>IF(45&lt;=$AA$98,IF($AA$98&lt;52.5,1,0),0)</f>
        <v>0</v>
      </c>
      <c r="Y180" s="823">
        <f>IF($AA$99=1,IF($X$138=1,P180,0),0)</f>
        <v>0</v>
      </c>
      <c r="Z180" s="817">
        <f t="shared" ref="Z180:AD180" si="79">IF($AA$99=1,IF($X$138=1,Q180,0),0)</f>
        <v>0</v>
      </c>
      <c r="AA180" s="817">
        <f t="shared" si="79"/>
        <v>0</v>
      </c>
      <c r="AB180" s="817">
        <f t="shared" si="79"/>
        <v>0</v>
      </c>
      <c r="AC180" s="817">
        <f t="shared" si="79"/>
        <v>0</v>
      </c>
      <c r="AD180" s="817">
        <f t="shared" si="79"/>
        <v>0</v>
      </c>
      <c r="AE180" s="830">
        <f>IF($AA$99=1,IF(X180=1,V180,0),0)</f>
        <v>0</v>
      </c>
      <c r="AF180" s="809"/>
      <c r="AG180" s="120"/>
      <c r="AH180" s="120"/>
      <c r="AI180" s="120"/>
      <c r="AJ180" s="120"/>
      <c r="AK180" s="120"/>
    </row>
    <row r="181" spans="1:37">
      <c r="A181" s="216"/>
      <c r="B181" s="123"/>
      <c r="C181" s="123"/>
      <c r="D181" s="132"/>
      <c r="E181" s="132"/>
      <c r="F181" s="217"/>
      <c r="G181" s="120"/>
      <c r="H181" s="120"/>
      <c r="I181" s="120"/>
      <c r="J181" s="120"/>
      <c r="K181" s="120"/>
      <c r="L181" s="120"/>
      <c r="M181" s="120"/>
      <c r="N181" s="803"/>
      <c r="O181" s="806"/>
      <c r="P181" s="806"/>
      <c r="Q181" s="806"/>
      <c r="R181" s="806"/>
      <c r="S181" s="806"/>
      <c r="T181" s="806"/>
      <c r="U181" s="806"/>
      <c r="V181" s="799" t="s">
        <v>597</v>
      </c>
      <c r="W181" s="809"/>
      <c r="X181" s="810"/>
      <c r="Y181" s="823"/>
      <c r="Z181" s="817"/>
      <c r="AA181" s="817"/>
      <c r="AB181" s="817"/>
      <c r="AC181" s="817"/>
      <c r="AD181" s="817"/>
      <c r="AE181" s="830">
        <f>IF($AA$99=1,IF(X180=1,V181,0),0)</f>
        <v>0</v>
      </c>
      <c r="AF181" s="809"/>
      <c r="AG181" s="120"/>
      <c r="AH181" s="120"/>
      <c r="AI181" s="120"/>
      <c r="AJ181" s="120"/>
      <c r="AK181" s="120"/>
    </row>
    <row r="182" spans="1:37">
      <c r="A182" s="216"/>
      <c r="B182" s="123"/>
      <c r="C182" s="123"/>
      <c r="D182" s="132"/>
      <c r="E182" s="132"/>
      <c r="F182" s="217"/>
      <c r="G182" s="120"/>
      <c r="H182" s="120"/>
      <c r="I182" s="120"/>
      <c r="J182" s="120"/>
      <c r="K182" s="120"/>
      <c r="L182" s="120"/>
      <c r="M182" s="120"/>
      <c r="N182" s="803"/>
      <c r="O182" s="797" t="s">
        <v>618</v>
      </c>
      <c r="P182" s="797">
        <v>-1.3</v>
      </c>
      <c r="Q182" s="797">
        <v>-1.9</v>
      </c>
      <c r="R182" s="797">
        <v>-1.3</v>
      </c>
      <c r="S182" s="797">
        <v>-1.9</v>
      </c>
      <c r="T182" s="782">
        <v>-0.5</v>
      </c>
      <c r="U182" s="782">
        <v>-0.5</v>
      </c>
      <c r="V182" s="799" t="s">
        <v>596</v>
      </c>
      <c r="W182" s="809"/>
      <c r="X182" s="810">
        <f>IF(52.5&lt;=$AA$98,IF($AA$98&lt;60,1,0),0)</f>
        <v>0</v>
      </c>
      <c r="Y182" s="823">
        <f>IF($AA$99=1,IF($X$140=1,P182,0),0)</f>
        <v>0</v>
      </c>
      <c r="Z182" s="817">
        <f t="shared" ref="Z182:AD182" si="80">IF($AA$99=1,IF($X$140=1,Q182,0),0)</f>
        <v>0</v>
      </c>
      <c r="AA182" s="817">
        <f t="shared" si="80"/>
        <v>0</v>
      </c>
      <c r="AB182" s="817">
        <f t="shared" si="80"/>
        <v>0</v>
      </c>
      <c r="AC182" s="817">
        <f t="shared" si="80"/>
        <v>0</v>
      </c>
      <c r="AD182" s="817">
        <f t="shared" si="80"/>
        <v>0</v>
      </c>
      <c r="AE182" s="830">
        <f>IF($AA$99=1,IF(X182=1,V182,0),0)</f>
        <v>0</v>
      </c>
      <c r="AF182" s="809"/>
      <c r="AG182" s="120"/>
      <c r="AH182" s="120"/>
      <c r="AI182" s="120"/>
      <c r="AJ182" s="120"/>
      <c r="AK182" s="120"/>
    </row>
    <row r="183" spans="1:37">
      <c r="A183" s="216"/>
      <c r="B183" s="123"/>
      <c r="C183" s="123"/>
      <c r="D183" s="132"/>
      <c r="E183" s="132"/>
      <c r="F183" s="217"/>
      <c r="G183" s="120"/>
      <c r="H183" s="120"/>
      <c r="I183" s="120"/>
      <c r="J183" s="120"/>
      <c r="K183" s="120"/>
      <c r="L183" s="120"/>
      <c r="M183" s="120"/>
      <c r="N183" s="803"/>
      <c r="O183" s="806"/>
      <c r="P183" s="806"/>
      <c r="Q183" s="806"/>
      <c r="R183" s="806"/>
      <c r="S183" s="806"/>
      <c r="T183" s="786"/>
      <c r="U183" s="786"/>
      <c r="V183" s="799" t="s">
        <v>597</v>
      </c>
      <c r="W183" s="809"/>
      <c r="X183" s="810"/>
      <c r="Y183" s="823"/>
      <c r="Z183" s="817"/>
      <c r="AA183" s="817"/>
      <c r="AB183" s="817"/>
      <c r="AC183" s="817"/>
      <c r="AD183" s="817"/>
      <c r="AE183" s="830">
        <f>IF($AA$99=1,IF(X182=1,V183,0),0)</f>
        <v>0</v>
      </c>
      <c r="AF183" s="809"/>
      <c r="AG183" s="120"/>
      <c r="AH183" s="120"/>
      <c r="AI183" s="120"/>
      <c r="AJ183" s="120"/>
      <c r="AK183" s="120"/>
    </row>
    <row r="184" spans="1:37">
      <c r="A184" s="216"/>
      <c r="B184" s="123"/>
      <c r="C184" s="123"/>
      <c r="D184" s="132"/>
      <c r="E184" s="132"/>
      <c r="F184" s="217"/>
      <c r="G184" s="120"/>
      <c r="H184" s="120"/>
      <c r="I184" s="120"/>
      <c r="J184" s="120"/>
      <c r="K184" s="120"/>
      <c r="L184" s="120"/>
      <c r="M184" s="120"/>
      <c r="N184" s="803"/>
      <c r="O184" s="797" t="s">
        <v>619</v>
      </c>
      <c r="P184" s="797">
        <f>P182+(P180-P178)</f>
        <v>-1.35</v>
      </c>
      <c r="Q184" s="797">
        <f t="shared" ref="Q184:U184" si="81">Q182+(Q180-Q178)</f>
        <v>-1.95</v>
      </c>
      <c r="R184" s="797">
        <f t="shared" si="81"/>
        <v>-1.3</v>
      </c>
      <c r="S184" s="797">
        <f t="shared" si="81"/>
        <v>-1.9</v>
      </c>
      <c r="T184" s="797">
        <f t="shared" si="81"/>
        <v>-0.55000000000000004</v>
      </c>
      <c r="U184" s="797">
        <f t="shared" si="81"/>
        <v>-0.55000000000000004</v>
      </c>
      <c r="V184" s="799" t="s">
        <v>596</v>
      </c>
      <c r="W184" s="809"/>
      <c r="X184" s="810">
        <f>IF(67.5&lt;=$AA$98,IF($AA$98&lt;75,1,0),0)</f>
        <v>0</v>
      </c>
      <c r="Y184" s="823">
        <f>IF($AA$99=1,IF($X$142=1,P184,0),0)</f>
        <v>0</v>
      </c>
      <c r="Z184" s="817">
        <f t="shared" ref="Z184:AD184" si="82">IF($AA$99=1,IF($X$142=1,Q184,0),0)</f>
        <v>0</v>
      </c>
      <c r="AA184" s="817">
        <f t="shared" si="82"/>
        <v>0</v>
      </c>
      <c r="AB184" s="817">
        <f t="shared" si="82"/>
        <v>0</v>
      </c>
      <c r="AC184" s="817">
        <f t="shared" si="82"/>
        <v>0</v>
      </c>
      <c r="AD184" s="817">
        <f t="shared" si="82"/>
        <v>0</v>
      </c>
      <c r="AE184" s="830">
        <f>IF($AA$99=1,IF(X184=1,V184,0),0)</f>
        <v>0</v>
      </c>
      <c r="AF184" s="809"/>
      <c r="AG184" s="120"/>
      <c r="AH184" s="120"/>
      <c r="AI184" s="120"/>
      <c r="AJ184" s="120"/>
      <c r="AK184" s="120"/>
    </row>
    <row r="185" spans="1:37" ht="15.75" thickBot="1">
      <c r="A185" s="216"/>
      <c r="B185" s="123"/>
      <c r="C185" s="123"/>
      <c r="D185" s="132"/>
      <c r="E185" s="132"/>
      <c r="F185" s="217"/>
      <c r="G185" s="120"/>
      <c r="H185" s="120"/>
      <c r="I185" s="120"/>
      <c r="J185" s="120"/>
      <c r="K185" s="120"/>
      <c r="L185" s="120"/>
      <c r="M185" s="120"/>
      <c r="N185" s="804"/>
      <c r="O185" s="813"/>
      <c r="P185" s="813"/>
      <c r="Q185" s="813"/>
      <c r="R185" s="813"/>
      <c r="S185" s="813"/>
      <c r="T185" s="813"/>
      <c r="U185" s="813"/>
      <c r="V185" s="814" t="s">
        <v>597</v>
      </c>
      <c r="W185" s="815"/>
      <c r="X185" s="810"/>
      <c r="Y185" s="828"/>
      <c r="Z185" s="824"/>
      <c r="AA185" s="824"/>
      <c r="AB185" s="824"/>
      <c r="AC185" s="824"/>
      <c r="AD185" s="824"/>
      <c r="AE185" s="847">
        <f>IF($AA$99=1,IF(X184=1,V185,0),0)</f>
        <v>0</v>
      </c>
      <c r="AF185" s="815"/>
      <c r="AG185" s="120"/>
      <c r="AH185" s="120"/>
      <c r="AI185" s="120"/>
      <c r="AJ185" s="120"/>
      <c r="AK185" s="120"/>
    </row>
    <row r="186" spans="1:37" ht="15.75" thickBot="1">
      <c r="A186" s="216"/>
      <c r="B186" s="123"/>
      <c r="C186" s="123"/>
      <c r="D186" s="132"/>
      <c r="E186" s="132"/>
      <c r="F186" s="217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845">
        <f>SUM(Y142:Y185)</f>
        <v>0</v>
      </c>
      <c r="Z186" s="845">
        <f t="shared" ref="Z186:AD186" si="83">SUM(Z142:Z185)</f>
        <v>0</v>
      </c>
      <c r="AA186" s="845">
        <f t="shared" si="83"/>
        <v>0</v>
      </c>
      <c r="AB186" s="845">
        <f t="shared" si="83"/>
        <v>0</v>
      </c>
      <c r="AC186" s="845">
        <f t="shared" si="83"/>
        <v>0</v>
      </c>
      <c r="AD186" s="845">
        <f t="shared" si="83"/>
        <v>0</v>
      </c>
      <c r="AE186" s="838" t="s">
        <v>596</v>
      </c>
      <c r="AF186" s="736"/>
      <c r="AG186" s="120"/>
      <c r="AH186" s="120"/>
      <c r="AI186" s="120"/>
      <c r="AJ186" s="120"/>
      <c r="AK186" s="120"/>
    </row>
    <row r="187" spans="1:37" ht="15.75" thickBot="1">
      <c r="A187" s="216"/>
      <c r="B187" s="123"/>
      <c r="C187" s="123"/>
      <c r="D187" s="132"/>
      <c r="E187" s="132"/>
      <c r="F187" s="217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846"/>
      <c r="Z187" s="846"/>
      <c r="AA187" s="846"/>
      <c r="AB187" s="846"/>
      <c r="AC187" s="846"/>
      <c r="AD187" s="846"/>
      <c r="AE187" s="838" t="s">
        <v>597</v>
      </c>
      <c r="AF187" s="736"/>
      <c r="AG187" s="120"/>
      <c r="AH187" s="120"/>
      <c r="AI187" s="120"/>
      <c r="AJ187" s="120"/>
      <c r="AK187" s="120"/>
    </row>
    <row r="188" spans="1:37">
      <c r="A188" s="216"/>
      <c r="B188" s="123"/>
      <c r="C188" s="123"/>
      <c r="D188" s="132"/>
      <c r="E188" s="132"/>
      <c r="F188" s="217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</row>
  </sheetData>
  <sheetProtection algorithmName="SHA-512" hashValue="UDsgdqwET/DU98SdwtgK4mnl4zghsQZt9eWkNIZXgYJKuRwSGOuledCmCJ3ab7/W0HRdb/adXXxVHV1aD/rTeg==" saltValue="hqB5xbhgjLvlQHKVRHYDmg==" spinCount="100000" sheet="1" objects="1" scenarios="1"/>
  <customSheetViews>
    <customSheetView guid="{D8D7B009-33DC-454B-9FCD-4FE65C8432CF}" showGridLines="0" state="hidden" topLeftCell="P58">
      <selection activeCell="AI87" sqref="AI87"/>
      <pageMargins left="0.7" right="0.7" top="0.75" bottom="0.75" header="0.3" footer="0.3"/>
      <pageSetup paperSize="9" orientation="portrait" r:id="rId1"/>
    </customSheetView>
  </customSheetViews>
  <mergeCells count="482">
    <mergeCell ref="O14:R14"/>
    <mergeCell ref="U14:X14"/>
    <mergeCell ref="AE73:AE75"/>
    <mergeCell ref="AF73:AF75"/>
    <mergeCell ref="AE186:AF186"/>
    <mergeCell ref="AE187:AF187"/>
    <mergeCell ref="E49:H50"/>
    <mergeCell ref="Y186:Y187"/>
    <mergeCell ref="Z186:Z187"/>
    <mergeCell ref="AA186:AA187"/>
    <mergeCell ref="AB186:AB187"/>
    <mergeCell ref="AC186:AC187"/>
    <mergeCell ref="AD186:AD187"/>
    <mergeCell ref="AB184:AB185"/>
    <mergeCell ref="AC184:AC185"/>
    <mergeCell ref="AD184:AD185"/>
    <mergeCell ref="AE184:AF184"/>
    <mergeCell ref="V185:W185"/>
    <mergeCell ref="AE185:AF185"/>
    <mergeCell ref="U184:U185"/>
    <mergeCell ref="V184:W184"/>
    <mergeCell ref="X184:X185"/>
    <mergeCell ref="Y184:Y185"/>
    <mergeCell ref="Z184:Z185"/>
    <mergeCell ref="AA184:AA185"/>
    <mergeCell ref="O184:O185"/>
    <mergeCell ref="P184:P185"/>
    <mergeCell ref="Q184:Q185"/>
    <mergeCell ref="Q180:Q181"/>
    <mergeCell ref="R180:R181"/>
    <mergeCell ref="S180:S181"/>
    <mergeCell ref="T180:T181"/>
    <mergeCell ref="T184:T185"/>
    <mergeCell ref="AB182:AB183"/>
    <mergeCell ref="AC182:AC183"/>
    <mergeCell ref="T182:T183"/>
    <mergeCell ref="AD182:AD183"/>
    <mergeCell ref="AE182:AF182"/>
    <mergeCell ref="V183:W183"/>
    <mergeCell ref="AE183:AF183"/>
    <mergeCell ref="U182:U183"/>
    <mergeCell ref="V182:W182"/>
    <mergeCell ref="X182:X183"/>
    <mergeCell ref="Y182:Y183"/>
    <mergeCell ref="Z182:Z183"/>
    <mergeCell ref="AA182:AA183"/>
    <mergeCell ref="AE180:AF180"/>
    <mergeCell ref="V181:W181"/>
    <mergeCell ref="AE181:AF181"/>
    <mergeCell ref="U180:U181"/>
    <mergeCell ref="V180:W180"/>
    <mergeCell ref="X180:X181"/>
    <mergeCell ref="Y180:Y181"/>
    <mergeCell ref="Z180:Z181"/>
    <mergeCell ref="AA180:AA181"/>
    <mergeCell ref="AB180:AB181"/>
    <mergeCell ref="AC180:AC181"/>
    <mergeCell ref="AD180:AD181"/>
    <mergeCell ref="AE178:AF178"/>
    <mergeCell ref="V179:W179"/>
    <mergeCell ref="AE179:AF179"/>
    <mergeCell ref="O176:O177"/>
    <mergeCell ref="P176:P177"/>
    <mergeCell ref="Q176:Q177"/>
    <mergeCell ref="R176:R177"/>
    <mergeCell ref="S176:S177"/>
    <mergeCell ref="T176:T177"/>
    <mergeCell ref="AB178:AB179"/>
    <mergeCell ref="AC178:AC179"/>
    <mergeCell ref="AD178:AD179"/>
    <mergeCell ref="U178:U179"/>
    <mergeCell ref="V178:W178"/>
    <mergeCell ref="X178:X179"/>
    <mergeCell ref="Y178:Y179"/>
    <mergeCell ref="Z178:Z179"/>
    <mergeCell ref="AA178:AA179"/>
    <mergeCell ref="T178:T179"/>
    <mergeCell ref="AB176:AB177"/>
    <mergeCell ref="AC176:AC177"/>
    <mergeCell ref="AE176:AF176"/>
    <mergeCell ref="V177:W177"/>
    <mergeCell ref="AE177:AF177"/>
    <mergeCell ref="U176:U177"/>
    <mergeCell ref="V176:W176"/>
    <mergeCell ref="X176:X177"/>
    <mergeCell ref="Y176:Y177"/>
    <mergeCell ref="Z176:Z177"/>
    <mergeCell ref="AA176:AA177"/>
    <mergeCell ref="AD176:AD177"/>
    <mergeCell ref="Z174:Z175"/>
    <mergeCell ref="AA174:AA175"/>
    <mergeCell ref="AB174:AB175"/>
    <mergeCell ref="AC174:AC175"/>
    <mergeCell ref="AD174:AD175"/>
    <mergeCell ref="AE174:AF174"/>
    <mergeCell ref="AE175:AF175"/>
    <mergeCell ref="S174:S175"/>
    <mergeCell ref="T174:T175"/>
    <mergeCell ref="U174:U175"/>
    <mergeCell ref="V174:W174"/>
    <mergeCell ref="X174:X175"/>
    <mergeCell ref="Y174:Y175"/>
    <mergeCell ref="V175:W175"/>
    <mergeCell ref="AA172:AA173"/>
    <mergeCell ref="AB172:AB173"/>
    <mergeCell ref="AC172:AC173"/>
    <mergeCell ref="AD172:AD173"/>
    <mergeCell ref="AE172:AF172"/>
    <mergeCell ref="V173:W173"/>
    <mergeCell ref="AE173:AF173"/>
    <mergeCell ref="T172:T173"/>
    <mergeCell ref="U172:U173"/>
    <mergeCell ref="V172:W172"/>
    <mergeCell ref="X172:X173"/>
    <mergeCell ref="Y172:Y173"/>
    <mergeCell ref="Z172:Z173"/>
    <mergeCell ref="N172:N185"/>
    <mergeCell ref="O172:O173"/>
    <mergeCell ref="P172:P173"/>
    <mergeCell ref="Q172:Q173"/>
    <mergeCell ref="R172:R173"/>
    <mergeCell ref="S172:S173"/>
    <mergeCell ref="O174:O175"/>
    <mergeCell ref="P174:P175"/>
    <mergeCell ref="Q174:Q175"/>
    <mergeCell ref="R174:R175"/>
    <mergeCell ref="O178:O179"/>
    <mergeCell ref="P178:P179"/>
    <mergeCell ref="Q178:Q179"/>
    <mergeCell ref="R178:R179"/>
    <mergeCell ref="S178:S179"/>
    <mergeCell ref="O182:O183"/>
    <mergeCell ref="P182:P183"/>
    <mergeCell ref="Q182:Q183"/>
    <mergeCell ref="R182:R183"/>
    <mergeCell ref="S182:S183"/>
    <mergeCell ref="R184:R185"/>
    <mergeCell ref="S184:S185"/>
    <mergeCell ref="O180:O181"/>
    <mergeCell ref="P180:P181"/>
    <mergeCell ref="AE170:AF170"/>
    <mergeCell ref="V171:W171"/>
    <mergeCell ref="AE171:AF171"/>
    <mergeCell ref="U170:U171"/>
    <mergeCell ref="V170:W170"/>
    <mergeCell ref="X170:X171"/>
    <mergeCell ref="Y170:Y171"/>
    <mergeCell ref="Z170:Z171"/>
    <mergeCell ref="AA170:AA171"/>
    <mergeCell ref="S170:S171"/>
    <mergeCell ref="T170:T171"/>
    <mergeCell ref="AB168:AB169"/>
    <mergeCell ref="AC168:AC169"/>
    <mergeCell ref="AD168:AD169"/>
    <mergeCell ref="O168:O169"/>
    <mergeCell ref="P168:P169"/>
    <mergeCell ref="Q168:Q169"/>
    <mergeCell ref="R168:R169"/>
    <mergeCell ref="S168:S169"/>
    <mergeCell ref="T168:T169"/>
    <mergeCell ref="AB170:AB171"/>
    <mergeCell ref="AC170:AC171"/>
    <mergeCell ref="AD170:AD171"/>
    <mergeCell ref="AE168:AF168"/>
    <mergeCell ref="V169:W169"/>
    <mergeCell ref="AE169:AF169"/>
    <mergeCell ref="U168:U169"/>
    <mergeCell ref="V168:W168"/>
    <mergeCell ref="X168:X169"/>
    <mergeCell ref="Y168:Y169"/>
    <mergeCell ref="Z168:Z169"/>
    <mergeCell ref="AA168:AA169"/>
    <mergeCell ref="AE166:AF166"/>
    <mergeCell ref="V167:W167"/>
    <mergeCell ref="AE167:AF167"/>
    <mergeCell ref="U166:U167"/>
    <mergeCell ref="V166:W166"/>
    <mergeCell ref="X166:X167"/>
    <mergeCell ref="Y166:Y167"/>
    <mergeCell ref="Z166:Z167"/>
    <mergeCell ref="AA166:AA167"/>
    <mergeCell ref="T166:T167"/>
    <mergeCell ref="AB164:AB165"/>
    <mergeCell ref="AC164:AC165"/>
    <mergeCell ref="AD164:AD165"/>
    <mergeCell ref="O164:O165"/>
    <mergeCell ref="P164:P165"/>
    <mergeCell ref="Q164:Q165"/>
    <mergeCell ref="R164:R165"/>
    <mergeCell ref="S164:S165"/>
    <mergeCell ref="T164:T165"/>
    <mergeCell ref="AB166:AB167"/>
    <mergeCell ref="AC166:AC167"/>
    <mergeCell ref="AD166:AD167"/>
    <mergeCell ref="AE164:AF164"/>
    <mergeCell ref="V165:W165"/>
    <mergeCell ref="AE165:AF165"/>
    <mergeCell ref="U164:U165"/>
    <mergeCell ref="V164:W164"/>
    <mergeCell ref="X164:X165"/>
    <mergeCell ref="Y164:Y165"/>
    <mergeCell ref="Z164:Z165"/>
    <mergeCell ref="AA164:AA165"/>
    <mergeCell ref="T162:T163"/>
    <mergeCell ref="Z160:Z161"/>
    <mergeCell ref="AA160:AA161"/>
    <mergeCell ref="AB160:AB161"/>
    <mergeCell ref="AB162:AB163"/>
    <mergeCell ref="AC162:AC163"/>
    <mergeCell ref="AD162:AD163"/>
    <mergeCell ref="AE162:AF162"/>
    <mergeCell ref="V163:W163"/>
    <mergeCell ref="AE163:AF163"/>
    <mergeCell ref="U162:U163"/>
    <mergeCell ref="V162:W162"/>
    <mergeCell ref="X162:X163"/>
    <mergeCell ref="Y162:Y163"/>
    <mergeCell ref="Z162:Z163"/>
    <mergeCell ref="AA162:AA163"/>
    <mergeCell ref="AC160:AC161"/>
    <mergeCell ref="AD160:AD161"/>
    <mergeCell ref="AE160:AF160"/>
    <mergeCell ref="AE161:AF161"/>
    <mergeCell ref="S160:S161"/>
    <mergeCell ref="T160:T161"/>
    <mergeCell ref="U160:U161"/>
    <mergeCell ref="V160:W160"/>
    <mergeCell ref="X160:X161"/>
    <mergeCell ref="Y160:Y161"/>
    <mergeCell ref="V161:W161"/>
    <mergeCell ref="AA158:AA159"/>
    <mergeCell ref="AB158:AB159"/>
    <mergeCell ref="AC158:AC159"/>
    <mergeCell ref="AD158:AD159"/>
    <mergeCell ref="AE158:AF158"/>
    <mergeCell ref="V159:W159"/>
    <mergeCell ref="AE159:AF159"/>
    <mergeCell ref="T158:T159"/>
    <mergeCell ref="U158:U159"/>
    <mergeCell ref="V158:W158"/>
    <mergeCell ref="X158:X159"/>
    <mergeCell ref="Y158:Y159"/>
    <mergeCell ref="Z158:Z159"/>
    <mergeCell ref="N158:N171"/>
    <mergeCell ref="O158:O159"/>
    <mergeCell ref="P158:P159"/>
    <mergeCell ref="Q158:Q159"/>
    <mergeCell ref="R158:R159"/>
    <mergeCell ref="S158:S159"/>
    <mergeCell ref="O160:O161"/>
    <mergeCell ref="P160:P161"/>
    <mergeCell ref="Q160:Q161"/>
    <mergeCell ref="R160:R161"/>
    <mergeCell ref="O162:O163"/>
    <mergeCell ref="P162:P163"/>
    <mergeCell ref="Q162:Q163"/>
    <mergeCell ref="R162:R163"/>
    <mergeCell ref="S162:S163"/>
    <mergeCell ref="O166:O167"/>
    <mergeCell ref="P166:P167"/>
    <mergeCell ref="Q166:Q167"/>
    <mergeCell ref="R166:R167"/>
    <mergeCell ref="S166:S167"/>
    <mergeCell ref="O170:O171"/>
    <mergeCell ref="P170:P171"/>
    <mergeCell ref="Q170:Q171"/>
    <mergeCell ref="R170:R171"/>
    <mergeCell ref="AE156:AF156"/>
    <mergeCell ref="V157:W157"/>
    <mergeCell ref="AE157:AF157"/>
    <mergeCell ref="U156:U157"/>
    <mergeCell ref="V156:W156"/>
    <mergeCell ref="X156:X157"/>
    <mergeCell ref="Y156:Y157"/>
    <mergeCell ref="Z156:Z157"/>
    <mergeCell ref="AA156:AA157"/>
    <mergeCell ref="O156:O157"/>
    <mergeCell ref="P156:P157"/>
    <mergeCell ref="Q156:Q157"/>
    <mergeCell ref="R156:R157"/>
    <mergeCell ref="S156:S157"/>
    <mergeCell ref="T156:T157"/>
    <mergeCell ref="AB154:AB155"/>
    <mergeCell ref="AC154:AC155"/>
    <mergeCell ref="AD154:AD155"/>
    <mergeCell ref="O154:O155"/>
    <mergeCell ref="P154:P155"/>
    <mergeCell ref="Q154:Q155"/>
    <mergeCell ref="R154:R155"/>
    <mergeCell ref="S154:S155"/>
    <mergeCell ref="T154:T155"/>
    <mergeCell ref="AB156:AB157"/>
    <mergeCell ref="AC156:AC157"/>
    <mergeCell ref="AD156:AD157"/>
    <mergeCell ref="AE154:AF154"/>
    <mergeCell ref="V155:W155"/>
    <mergeCell ref="AE155:AF155"/>
    <mergeCell ref="U154:U155"/>
    <mergeCell ref="V154:W154"/>
    <mergeCell ref="X154:X155"/>
    <mergeCell ref="Y154:Y155"/>
    <mergeCell ref="Z154:Z155"/>
    <mergeCell ref="AA154:AA155"/>
    <mergeCell ref="AE152:AF152"/>
    <mergeCell ref="V153:W153"/>
    <mergeCell ref="AE153:AF153"/>
    <mergeCell ref="U152:U153"/>
    <mergeCell ref="V152:W152"/>
    <mergeCell ref="X152:X153"/>
    <mergeCell ref="Y152:Y153"/>
    <mergeCell ref="Z152:Z153"/>
    <mergeCell ref="AA152:AA153"/>
    <mergeCell ref="O152:O153"/>
    <mergeCell ref="P152:P153"/>
    <mergeCell ref="Q152:Q153"/>
    <mergeCell ref="R152:R153"/>
    <mergeCell ref="S152:S153"/>
    <mergeCell ref="T152:T153"/>
    <mergeCell ref="AB150:AB151"/>
    <mergeCell ref="AC150:AC151"/>
    <mergeCell ref="AD150:AD151"/>
    <mergeCell ref="O150:O151"/>
    <mergeCell ref="P150:P151"/>
    <mergeCell ref="Q150:Q151"/>
    <mergeCell ref="R150:R151"/>
    <mergeCell ref="S150:S151"/>
    <mergeCell ref="T150:T151"/>
    <mergeCell ref="AB152:AB153"/>
    <mergeCell ref="AC152:AC153"/>
    <mergeCell ref="AD152:AD153"/>
    <mergeCell ref="AE150:AF150"/>
    <mergeCell ref="V151:W151"/>
    <mergeCell ref="AE151:AF151"/>
    <mergeCell ref="U150:U151"/>
    <mergeCell ref="V150:W150"/>
    <mergeCell ref="X150:X151"/>
    <mergeCell ref="Y150:Y151"/>
    <mergeCell ref="Z150:Z151"/>
    <mergeCell ref="AA150:AA151"/>
    <mergeCell ref="AE148:AF148"/>
    <mergeCell ref="V149:W149"/>
    <mergeCell ref="AE149:AF149"/>
    <mergeCell ref="U148:U149"/>
    <mergeCell ref="V148:W148"/>
    <mergeCell ref="X148:X149"/>
    <mergeCell ref="Y148:Y149"/>
    <mergeCell ref="Z148:Z149"/>
    <mergeCell ref="AA148:AA149"/>
    <mergeCell ref="O148:O149"/>
    <mergeCell ref="P148:P149"/>
    <mergeCell ref="Q148:Q149"/>
    <mergeCell ref="R148:R149"/>
    <mergeCell ref="S148:S149"/>
    <mergeCell ref="T148:T149"/>
    <mergeCell ref="AB146:AB147"/>
    <mergeCell ref="AC146:AC147"/>
    <mergeCell ref="AD146:AD147"/>
    <mergeCell ref="O146:O147"/>
    <mergeCell ref="P146:P147"/>
    <mergeCell ref="Q146:Q147"/>
    <mergeCell ref="R146:R147"/>
    <mergeCell ref="S146:S147"/>
    <mergeCell ref="T146:T147"/>
    <mergeCell ref="AB148:AB149"/>
    <mergeCell ref="AC148:AC149"/>
    <mergeCell ref="AD148:AD149"/>
    <mergeCell ref="AE146:AF146"/>
    <mergeCell ref="V147:W147"/>
    <mergeCell ref="AE147:AF147"/>
    <mergeCell ref="U146:U147"/>
    <mergeCell ref="V146:W146"/>
    <mergeCell ref="X146:X147"/>
    <mergeCell ref="Y146:Y147"/>
    <mergeCell ref="Z146:Z147"/>
    <mergeCell ref="AA146:AA147"/>
    <mergeCell ref="AB144:AB145"/>
    <mergeCell ref="AC144:AC145"/>
    <mergeCell ref="AD144:AD145"/>
    <mergeCell ref="AE144:AF144"/>
    <mergeCell ref="AE145:AF145"/>
    <mergeCell ref="S144:S145"/>
    <mergeCell ref="T144:T145"/>
    <mergeCell ref="U144:U145"/>
    <mergeCell ref="V144:W144"/>
    <mergeCell ref="X144:X145"/>
    <mergeCell ref="Y144:Y145"/>
    <mergeCell ref="V145:W145"/>
    <mergeCell ref="AC142:AC143"/>
    <mergeCell ref="AD142:AD143"/>
    <mergeCell ref="AE142:AF142"/>
    <mergeCell ref="V143:W143"/>
    <mergeCell ref="AE143:AF143"/>
    <mergeCell ref="N144:N157"/>
    <mergeCell ref="O144:O145"/>
    <mergeCell ref="P144:P145"/>
    <mergeCell ref="Q144:Q145"/>
    <mergeCell ref="R144:R145"/>
    <mergeCell ref="U142:U143"/>
    <mergeCell ref="V142:W142"/>
    <mergeCell ref="Y142:Y143"/>
    <mergeCell ref="Z142:Z143"/>
    <mergeCell ref="AA142:AA143"/>
    <mergeCell ref="AB142:AB143"/>
    <mergeCell ref="N142:O143"/>
    <mergeCell ref="P142:P143"/>
    <mergeCell ref="Q142:Q143"/>
    <mergeCell ref="R142:R143"/>
    <mergeCell ref="S142:S143"/>
    <mergeCell ref="T142:T143"/>
    <mergeCell ref="Z144:Z145"/>
    <mergeCell ref="AA144:AA145"/>
    <mergeCell ref="S67:S68"/>
    <mergeCell ref="T67:T68"/>
    <mergeCell ref="U67:U68"/>
    <mergeCell ref="N139:O141"/>
    <mergeCell ref="P139:W139"/>
    <mergeCell ref="P140:Q140"/>
    <mergeCell ref="R140:S140"/>
    <mergeCell ref="T140:U140"/>
    <mergeCell ref="V140:W140"/>
    <mergeCell ref="Q83:U83"/>
    <mergeCell ref="V84:Z84"/>
    <mergeCell ref="N85:N134"/>
    <mergeCell ref="Y138:AB138"/>
    <mergeCell ref="W64:X64"/>
    <mergeCell ref="W65:X65"/>
    <mergeCell ref="S60:S61"/>
    <mergeCell ref="T60:T61"/>
    <mergeCell ref="U60:U61"/>
    <mergeCell ref="W61:X61"/>
    <mergeCell ref="W62:X62"/>
    <mergeCell ref="W63:X63"/>
    <mergeCell ref="S63:U64"/>
    <mergeCell ref="S65:S66"/>
    <mergeCell ref="T65:T66"/>
    <mergeCell ref="U65:U66"/>
    <mergeCell ref="AF56:AG56"/>
    <mergeCell ref="AH56:AI56"/>
    <mergeCell ref="AJ56:AK56"/>
    <mergeCell ref="W57:X58"/>
    <mergeCell ref="Y57:Y58"/>
    <mergeCell ref="S58:S59"/>
    <mergeCell ref="T58:T59"/>
    <mergeCell ref="U58:U59"/>
    <mergeCell ref="W59:X60"/>
    <mergeCell ref="Y59:Y60"/>
    <mergeCell ref="S53:S54"/>
    <mergeCell ref="T53:T54"/>
    <mergeCell ref="U53:U54"/>
    <mergeCell ref="W53:X54"/>
    <mergeCell ref="W55:X56"/>
    <mergeCell ref="Y55:Y56"/>
    <mergeCell ref="S56:U57"/>
    <mergeCell ref="W49:X50"/>
    <mergeCell ref="AA49:AA50"/>
    <mergeCell ref="AB49:AB50"/>
    <mergeCell ref="AC49:AC50"/>
    <mergeCell ref="AD49:AD50"/>
    <mergeCell ref="S51:S52"/>
    <mergeCell ref="T51:T52"/>
    <mergeCell ref="U51:U52"/>
    <mergeCell ref="W51:X52"/>
    <mergeCell ref="D49:D50"/>
    <mergeCell ref="J49:L50"/>
    <mergeCell ref="N49:P50"/>
    <mergeCell ref="S49:U50"/>
    <mergeCell ref="D37:F37"/>
    <mergeCell ref="G37:I37"/>
    <mergeCell ref="G36:I36"/>
    <mergeCell ref="D30:F30"/>
    <mergeCell ref="D31:F31"/>
    <mergeCell ref="D32:F32"/>
    <mergeCell ref="D33:F33"/>
    <mergeCell ref="D34:F34"/>
    <mergeCell ref="D35:F35"/>
    <mergeCell ref="D36:F36"/>
    <mergeCell ref="G30:I30"/>
    <mergeCell ref="G31:I31"/>
    <mergeCell ref="G32:I32"/>
    <mergeCell ref="G33:I33"/>
    <mergeCell ref="G35:I35"/>
    <mergeCell ref="G34:I34"/>
  </mergeCells>
  <conditionalFormatting sqref="S32">
    <cfRule type="expression" dxfId="1" priority="1">
      <formula>$G32&gt;0</formula>
    </cfRule>
  </conditionalFormatting>
  <conditionalFormatting sqref="T32">
    <cfRule type="expression" dxfId="0" priority="55">
      <formula>$G33&gt;0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11"/>
  <dimension ref="A1:S202"/>
  <sheetViews>
    <sheetView showGridLines="0" topLeftCell="F30" zoomScale="60" zoomScaleNormal="60" workbookViewId="0">
      <selection activeCell="J15" sqref="J15"/>
    </sheetView>
  </sheetViews>
  <sheetFormatPr baseColWidth="10" defaultRowHeight="15"/>
  <cols>
    <col min="1" max="1" width="15.28515625" customWidth="1"/>
    <col min="2" max="2" width="32.7109375" bestFit="1" customWidth="1"/>
    <col min="3" max="3" width="30.7109375" customWidth="1"/>
    <col min="4" max="14" width="40.7109375" customWidth="1"/>
    <col min="15" max="15" width="39" customWidth="1"/>
    <col min="17" max="18" width="40.7109375" customWidth="1"/>
    <col min="19" max="19" width="50.7109375" customWidth="1"/>
  </cols>
  <sheetData>
    <row r="1" spans="2:19" ht="15.75" thickBot="1"/>
    <row r="2" spans="2:19">
      <c r="F2" s="850" t="s">
        <v>1533</v>
      </c>
      <c r="G2" s="851"/>
      <c r="H2" s="852"/>
      <c r="L2" s="850" t="s">
        <v>1534</v>
      </c>
      <c r="M2" s="851"/>
      <c r="N2" s="852"/>
    </row>
    <row r="3" spans="2:19" ht="15.75" thickBot="1">
      <c r="C3" s="100" t="s">
        <v>0</v>
      </c>
      <c r="D3" s="20"/>
      <c r="E3" s="25"/>
      <c r="F3" s="609" t="s">
        <v>641</v>
      </c>
      <c r="G3" s="581" t="s">
        <v>642</v>
      </c>
      <c r="H3" s="610" t="s">
        <v>643</v>
      </c>
      <c r="I3" s="580" t="s">
        <v>644</v>
      </c>
      <c r="J3" s="100" t="s">
        <v>645</v>
      </c>
      <c r="K3" s="100" t="s">
        <v>646</v>
      </c>
      <c r="L3" s="609" t="s">
        <v>641</v>
      </c>
      <c r="M3" s="581" t="s">
        <v>642</v>
      </c>
      <c r="N3" s="610" t="s">
        <v>643</v>
      </c>
    </row>
    <row r="4" spans="2:19" ht="110.1" customHeight="1" thickBot="1">
      <c r="B4" s="104" t="str">
        <f>'Définition PERGOSOLAR'!G15</f>
        <v>3x3 4 Pieds</v>
      </c>
      <c r="C4" s="249" t="s">
        <v>745</v>
      </c>
      <c r="D4" s="101" t="str">
        <f>"Catalogue!"&amp;ADDRESS(ROW(D4),COLUMN(E4))</f>
        <v>Catalogue!$E$4</v>
      </c>
      <c r="E4" s="25"/>
      <c r="F4" s="611">
        <v>3676</v>
      </c>
      <c r="G4" s="269">
        <v>2845</v>
      </c>
      <c r="H4" s="612">
        <v>2753</v>
      </c>
      <c r="I4" s="608">
        <f>IF(C4=$B$4,IF($B$5="PERGOSOLAR CONFORT",F4,IF($B$5="PERGOSOLAR HARMONY",L4,0)),0)</f>
        <v>0</v>
      </c>
      <c r="J4" s="269">
        <f>IF(C4=$B$4,IF($B$5="PERGOSOLAR CONFORT",G4,IF($B$5="PERGOSOLAR HARMONY",M4,0)),0)</f>
        <v>0</v>
      </c>
      <c r="K4" s="269">
        <f>IF(C4=$B$4,IF($B$5="PERGOSOLAR CONFORT",H4,IF($B$5="PERGOSOLAR HARMONY",N4,0)),0)</f>
        <v>0</v>
      </c>
      <c r="L4" s="611">
        <v>3876</v>
      </c>
      <c r="M4" s="269">
        <v>2981</v>
      </c>
      <c r="N4" s="612">
        <v>2753</v>
      </c>
    </row>
    <row r="5" spans="2:19" ht="110.1" customHeight="1" thickBot="1">
      <c r="B5" s="104" t="str">
        <f>'Définition PERGOSOLAR'!G13</f>
        <v>PERGOSOLAR HARMONY</v>
      </c>
      <c r="C5" s="579" t="s">
        <v>746</v>
      </c>
      <c r="D5" s="101" t="str">
        <f>"Catalogue!"&amp;ADDRESS(ROW(D5),COLUMN(E5))</f>
        <v>Catalogue!$E$5</v>
      </c>
      <c r="E5" s="25"/>
      <c r="F5" s="611">
        <v>3676</v>
      </c>
      <c r="G5" s="269">
        <v>2845</v>
      </c>
      <c r="H5" s="612">
        <f>H4</f>
        <v>2753</v>
      </c>
      <c r="I5" s="608">
        <f t="shared" ref="I5:I15" si="0">IF(C5=$B$4,IF($B$5="PERGOSOLAR CONFORT",F5,IF($B$5="PERGOSOLAR HARMONY",L5,0)),0)</f>
        <v>0</v>
      </c>
      <c r="J5" s="269">
        <f t="shared" ref="J5:J15" si="1">IF(C5=$B$4,IF($B$5="PERGOSOLAR CONFORT",G5,IF($B$5="PERGOSOLAR HARMONY",M5,0)),0)</f>
        <v>0</v>
      </c>
      <c r="K5" s="269">
        <f t="shared" ref="K5:K15" si="2">IF(C5=$B$4,IF($B$5="PERGOSOLAR CONFORT",H5,IF($B$5="PERGOSOLAR HARMONY",N5,0)),0)</f>
        <v>0</v>
      </c>
      <c r="L5" s="611">
        <v>3876</v>
      </c>
      <c r="M5" s="269">
        <v>2981</v>
      </c>
      <c r="N5" s="612">
        <f>N4</f>
        <v>2753</v>
      </c>
    </row>
    <row r="6" spans="2:19" ht="110.1" customHeight="1">
      <c r="C6" s="101" t="s">
        <v>748</v>
      </c>
      <c r="D6" s="101" t="str">
        <f t="shared" ref="D6:D14" si="3">"Catalogue!"&amp;ADDRESS(ROW(D6),COLUMN(E6))</f>
        <v>Catalogue!$E$6</v>
      </c>
      <c r="E6" s="25"/>
      <c r="F6" s="611">
        <v>5376</v>
      </c>
      <c r="G6" s="269">
        <v>2845</v>
      </c>
      <c r="H6" s="612">
        <f t="shared" ref="H6:H15" si="4">H5</f>
        <v>2753</v>
      </c>
      <c r="I6" s="608">
        <f t="shared" si="0"/>
        <v>0</v>
      </c>
      <c r="J6" s="269">
        <f t="shared" si="1"/>
        <v>0</v>
      </c>
      <c r="K6" s="269">
        <f t="shared" si="2"/>
        <v>0</v>
      </c>
      <c r="L6" s="611">
        <v>5676</v>
      </c>
      <c r="M6" s="269">
        <v>2981</v>
      </c>
      <c r="N6" s="612">
        <f t="shared" ref="N6:N15" si="5">N5</f>
        <v>2753</v>
      </c>
    </row>
    <row r="7" spans="2:19" ht="110.1" customHeight="1">
      <c r="C7" s="101" t="s">
        <v>747</v>
      </c>
      <c r="D7" s="101" t="str">
        <f t="shared" ref="D7:D9" si="6">"Catalogue!"&amp;ADDRESS(ROW(D7),COLUMN(E7))</f>
        <v>Catalogue!$E$7</v>
      </c>
      <c r="E7" s="25"/>
      <c r="F7" s="611">
        <v>5376</v>
      </c>
      <c r="G7" s="269">
        <v>2845</v>
      </c>
      <c r="H7" s="612">
        <f t="shared" si="4"/>
        <v>2753</v>
      </c>
      <c r="I7" s="608">
        <f t="shared" si="0"/>
        <v>0</v>
      </c>
      <c r="J7" s="269">
        <f t="shared" si="1"/>
        <v>0</v>
      </c>
      <c r="K7" s="269">
        <f t="shared" si="2"/>
        <v>0</v>
      </c>
      <c r="L7" s="611">
        <v>5676</v>
      </c>
      <c r="M7" s="269">
        <v>2981</v>
      </c>
      <c r="N7" s="612">
        <f t="shared" si="5"/>
        <v>2753</v>
      </c>
    </row>
    <row r="8" spans="2:19" s="408" customFormat="1" ht="110.1" customHeight="1">
      <c r="C8" s="454" t="s">
        <v>1005</v>
      </c>
      <c r="D8" s="454" t="str">
        <f t="shared" si="6"/>
        <v>Catalogue!$E$8</v>
      </c>
      <c r="E8" s="25"/>
      <c r="F8" s="611">
        <v>3676</v>
      </c>
      <c r="G8" s="269">
        <v>4095</v>
      </c>
      <c r="H8" s="612">
        <v>2753</v>
      </c>
      <c r="I8" s="608">
        <f t="shared" si="0"/>
        <v>0</v>
      </c>
      <c r="J8" s="269">
        <f t="shared" si="1"/>
        <v>0</v>
      </c>
      <c r="K8" s="269">
        <f t="shared" si="2"/>
        <v>0</v>
      </c>
      <c r="L8" s="611">
        <v>3876</v>
      </c>
      <c r="M8" s="269">
        <v>4299</v>
      </c>
      <c r="N8" s="612">
        <v>2753</v>
      </c>
    </row>
    <row r="9" spans="2:19" s="408" customFormat="1" ht="110.1" customHeight="1">
      <c r="C9" s="454" t="s">
        <v>1006</v>
      </c>
      <c r="D9" s="454" t="str">
        <f t="shared" si="6"/>
        <v>Catalogue!$E$9</v>
      </c>
      <c r="E9" s="25"/>
      <c r="F9" s="611">
        <v>3676</v>
      </c>
      <c r="G9" s="269">
        <v>4095</v>
      </c>
      <c r="H9" s="612">
        <v>2753</v>
      </c>
      <c r="I9" s="608">
        <f t="shared" si="0"/>
        <v>0</v>
      </c>
      <c r="J9" s="269">
        <f t="shared" si="1"/>
        <v>0</v>
      </c>
      <c r="K9" s="269">
        <f t="shared" si="2"/>
        <v>0</v>
      </c>
      <c r="L9" s="611">
        <v>3876</v>
      </c>
      <c r="M9" s="269">
        <v>4299</v>
      </c>
      <c r="N9" s="612">
        <v>2753</v>
      </c>
    </row>
    <row r="10" spans="2:19" ht="110.1" customHeight="1">
      <c r="C10" s="101" t="s">
        <v>749</v>
      </c>
      <c r="D10" s="101" t="str">
        <f t="shared" si="3"/>
        <v>Catalogue!$E$10</v>
      </c>
      <c r="E10" s="25"/>
      <c r="F10" s="611">
        <v>5376</v>
      </c>
      <c r="G10" s="269">
        <v>4095</v>
      </c>
      <c r="H10" s="612">
        <f>H7</f>
        <v>2753</v>
      </c>
      <c r="I10" s="608">
        <f t="shared" si="0"/>
        <v>0</v>
      </c>
      <c r="J10" s="269">
        <f t="shared" si="1"/>
        <v>0</v>
      </c>
      <c r="K10" s="269">
        <f t="shared" si="2"/>
        <v>0</v>
      </c>
      <c r="L10" s="611">
        <v>5676</v>
      </c>
      <c r="M10" s="269">
        <v>4299</v>
      </c>
      <c r="N10" s="612">
        <f>N7</f>
        <v>2753</v>
      </c>
    </row>
    <row r="11" spans="2:19" ht="110.1" customHeight="1">
      <c r="C11" s="101" t="s">
        <v>750</v>
      </c>
      <c r="D11" s="101" t="str">
        <f t="shared" ref="D11" si="7">"Catalogue!"&amp;ADDRESS(ROW(D11),COLUMN(E11))</f>
        <v>Catalogue!$E$11</v>
      </c>
      <c r="E11" s="25"/>
      <c r="F11" s="611">
        <v>5376</v>
      </c>
      <c r="G11" s="269">
        <v>4095</v>
      </c>
      <c r="H11" s="612">
        <f t="shared" si="4"/>
        <v>2753</v>
      </c>
      <c r="I11" s="608">
        <f t="shared" si="0"/>
        <v>5676</v>
      </c>
      <c r="J11" s="269">
        <f t="shared" si="1"/>
        <v>4299</v>
      </c>
      <c r="K11" s="269">
        <f t="shared" si="2"/>
        <v>2753</v>
      </c>
      <c r="L11" s="611">
        <v>5676</v>
      </c>
      <c r="M11" s="269">
        <v>4299</v>
      </c>
      <c r="N11" s="612">
        <f t="shared" si="5"/>
        <v>2753</v>
      </c>
    </row>
    <row r="12" spans="2:19" ht="110.1" customHeight="1">
      <c r="C12" s="101" t="s">
        <v>752</v>
      </c>
      <c r="D12" s="101" t="str">
        <f t="shared" si="3"/>
        <v>Catalogue!$E$12</v>
      </c>
      <c r="E12" s="25"/>
      <c r="F12" s="611">
        <v>3676</v>
      </c>
      <c r="G12" s="269">
        <v>5345</v>
      </c>
      <c r="H12" s="612">
        <f t="shared" si="4"/>
        <v>2753</v>
      </c>
      <c r="I12" s="608">
        <f t="shared" si="0"/>
        <v>0</v>
      </c>
      <c r="J12" s="269">
        <f t="shared" si="1"/>
        <v>0</v>
      </c>
      <c r="K12" s="269">
        <f t="shared" si="2"/>
        <v>0</v>
      </c>
      <c r="L12" s="611">
        <v>3876</v>
      </c>
      <c r="M12" s="269">
        <v>5617</v>
      </c>
      <c r="N12" s="612">
        <f t="shared" si="5"/>
        <v>2753</v>
      </c>
    </row>
    <row r="13" spans="2:19" ht="110.1" customHeight="1">
      <c r="C13" s="101" t="s">
        <v>751</v>
      </c>
      <c r="D13" s="101" t="str">
        <f t="shared" ref="D13" si="8">"Catalogue!"&amp;ADDRESS(ROW(D13),COLUMN(E13))</f>
        <v>Catalogue!$E$13</v>
      </c>
      <c r="E13" s="25"/>
      <c r="F13" s="611">
        <v>3676</v>
      </c>
      <c r="G13" s="269">
        <v>5345</v>
      </c>
      <c r="H13" s="612">
        <f t="shared" si="4"/>
        <v>2753</v>
      </c>
      <c r="I13" s="608">
        <f t="shared" si="0"/>
        <v>0</v>
      </c>
      <c r="J13" s="269">
        <f t="shared" si="1"/>
        <v>0</v>
      </c>
      <c r="K13" s="269">
        <f t="shared" si="2"/>
        <v>0</v>
      </c>
      <c r="L13" s="611">
        <v>3876</v>
      </c>
      <c r="M13" s="269">
        <v>5617</v>
      </c>
      <c r="N13" s="612">
        <f t="shared" si="5"/>
        <v>2753</v>
      </c>
      <c r="P13" s="101" t="str">
        <f>B4</f>
        <v>3x3 4 Pieds</v>
      </c>
      <c r="Q13" s="101">
        <f>IF(P13="4x3 4 Pieds",1,IF(P13="2x2 4 Pieds",1,IF(P13="2x3 4 Pieds",1,IF(P13="4x3 4 Pieds",1,IF(P13="3x3 4 Pieds",1,0)))))</f>
        <v>1</v>
      </c>
      <c r="R13" s="101" t="str">
        <f t="shared" ref="R13:R14" si="9">"Catalogue!"&amp;ADDRESS(ROW(R13),COLUMN(S13))</f>
        <v>Catalogue!$S$13</v>
      </c>
      <c r="S13" s="20"/>
    </row>
    <row r="14" spans="2:19" ht="110.1" customHeight="1">
      <c r="C14" s="101" t="s">
        <v>753</v>
      </c>
      <c r="D14" s="101" t="str">
        <f t="shared" si="3"/>
        <v>Catalogue!$E$14</v>
      </c>
      <c r="E14" s="25"/>
      <c r="F14" s="611">
        <v>5376</v>
      </c>
      <c r="G14" s="269">
        <v>5345</v>
      </c>
      <c r="H14" s="612">
        <f t="shared" si="4"/>
        <v>2753</v>
      </c>
      <c r="I14" s="608">
        <f t="shared" si="0"/>
        <v>0</v>
      </c>
      <c r="J14" s="269">
        <f t="shared" si="1"/>
        <v>0</v>
      </c>
      <c r="K14" s="269">
        <f t="shared" si="2"/>
        <v>0</v>
      </c>
      <c r="L14" s="611">
        <v>5676</v>
      </c>
      <c r="M14" s="269">
        <v>5617</v>
      </c>
      <c r="N14" s="612">
        <f t="shared" si="5"/>
        <v>2753</v>
      </c>
      <c r="P14" s="101" t="str">
        <f>B4</f>
        <v>3x3 4 Pieds</v>
      </c>
      <c r="Q14" s="101">
        <f>IF(P14="4x3 2 Pieds",1,IF(P14="2x2 2 Pieds",1,IF(P14="2x3 2 Pieds",1,IF(P14="4x3 2 Pieds",1,IF(P14="3x3 2 Pieds",1,0)))))</f>
        <v>0</v>
      </c>
      <c r="R14" s="101" t="str">
        <f t="shared" si="9"/>
        <v>Catalogue!$S$14</v>
      </c>
      <c r="S14" s="20"/>
    </row>
    <row r="15" spans="2:19" ht="110.1" customHeight="1" thickBot="1">
      <c r="C15" s="101" t="s">
        <v>754</v>
      </c>
      <c r="D15" s="101" t="str">
        <f t="shared" ref="D15" si="10">"Catalogue!"&amp;ADDRESS(ROW(D15),COLUMN(E15))</f>
        <v>Catalogue!$E$15</v>
      </c>
      <c r="E15" s="25"/>
      <c r="F15" s="613">
        <v>5376</v>
      </c>
      <c r="G15" s="614">
        <v>5345</v>
      </c>
      <c r="H15" s="615">
        <f t="shared" si="4"/>
        <v>2753</v>
      </c>
      <c r="I15" s="608">
        <f t="shared" si="0"/>
        <v>0</v>
      </c>
      <c r="J15" s="269">
        <f t="shared" si="1"/>
        <v>0</v>
      </c>
      <c r="K15" s="269">
        <f t="shared" si="2"/>
        <v>0</v>
      </c>
      <c r="L15" s="611">
        <v>5676</v>
      </c>
      <c r="M15" s="269">
        <v>5617</v>
      </c>
      <c r="N15" s="615">
        <f t="shared" si="5"/>
        <v>2753</v>
      </c>
      <c r="Q15" s="101">
        <v>1</v>
      </c>
    </row>
    <row r="16" spans="2:19" ht="49.5" customHeight="1" thickBot="1">
      <c r="C16" s="102"/>
      <c r="D16" s="102"/>
      <c r="I16" s="272">
        <f>SUM(I4:I15)</f>
        <v>5676</v>
      </c>
      <c r="J16" s="272">
        <f t="shared" ref="J16:K16" si="11">SUM(J4:J15)</f>
        <v>4299</v>
      </c>
      <c r="K16" s="374">
        <f t="shared" si="11"/>
        <v>2753</v>
      </c>
    </row>
    <row r="17" spans="2:13" ht="15" customHeight="1">
      <c r="B17" s="100" t="s">
        <v>484</v>
      </c>
      <c r="C17" s="100" t="s">
        <v>0</v>
      </c>
      <c r="D17" s="100" t="s">
        <v>481</v>
      </c>
      <c r="E17" s="100" t="s">
        <v>482</v>
      </c>
      <c r="F17" s="20"/>
      <c r="G17" s="20"/>
      <c r="H17" s="100" t="s">
        <v>485</v>
      </c>
      <c r="I17" s="271" t="s">
        <v>0</v>
      </c>
      <c r="J17" s="271" t="s">
        <v>486</v>
      </c>
      <c r="K17" s="271" t="s">
        <v>482</v>
      </c>
      <c r="L17" s="20"/>
      <c r="M17" s="20"/>
    </row>
    <row r="18" spans="2:13" ht="110.1" customHeight="1">
      <c r="B18" s="101" t="s">
        <v>483</v>
      </c>
      <c r="C18" s="101" t="s">
        <v>745</v>
      </c>
      <c r="D18" s="101">
        <v>0</v>
      </c>
      <c r="E18" s="101">
        <f t="shared" ref="E18:E67" si="12">IF($B$19=C18,IF($B$22=D18,H18,0),0)</f>
        <v>0</v>
      </c>
      <c r="F18" s="101" t="str">
        <f t="shared" ref="F18:F23" si="13">"Catalogue!"&amp;ADDRESS(ROW(F18),COLUMN(G18))</f>
        <v>Catalogue!$G$18</v>
      </c>
      <c r="G18" s="20"/>
      <c r="H18" s="101">
        <v>1</v>
      </c>
      <c r="I18" s="101" t="s">
        <v>745</v>
      </c>
      <c r="J18" s="101">
        <v>0</v>
      </c>
      <c r="K18" s="101">
        <f t="shared" ref="K18:K67" si="14">IF($B$19=I18,IF($B$23=J18,H18,0),0)</f>
        <v>0</v>
      </c>
      <c r="L18" s="101" t="str">
        <f>"Catalogue!"&amp;ADDRESS(ROW(L18),COLUMN(M18))</f>
        <v>Catalogue!$M$18</v>
      </c>
      <c r="M18" s="20"/>
    </row>
    <row r="19" spans="2:13" ht="110.1" customHeight="1">
      <c r="B19" s="101" t="str">
        <f>'Définition PERGOSOLAR'!G15</f>
        <v>3x3 4 Pieds</v>
      </c>
      <c r="C19" s="101" t="s">
        <v>746</v>
      </c>
      <c r="D19" s="101">
        <v>0</v>
      </c>
      <c r="E19" s="101">
        <f t="shared" si="12"/>
        <v>0</v>
      </c>
      <c r="F19" s="101" t="str">
        <f t="shared" si="13"/>
        <v>Catalogue!$G$19</v>
      </c>
      <c r="G19" s="20"/>
      <c r="H19" s="101">
        <f>H18+1</f>
        <v>2</v>
      </c>
      <c r="I19" s="101" t="s">
        <v>746</v>
      </c>
      <c r="J19" s="101">
        <v>0</v>
      </c>
      <c r="K19" s="101">
        <f t="shared" si="14"/>
        <v>0</v>
      </c>
      <c r="L19" s="101" t="str">
        <f>"Catalogue!"&amp;ADDRESS(ROW(L19),COLUMN(M19))</f>
        <v>Catalogue!$M$19</v>
      </c>
      <c r="M19" s="20"/>
    </row>
    <row r="20" spans="2:13" ht="110.1" customHeight="1">
      <c r="B20" s="101"/>
      <c r="C20" s="101" t="s">
        <v>745</v>
      </c>
      <c r="D20" s="101">
        <v>1</v>
      </c>
      <c r="E20" s="101">
        <f t="shared" si="12"/>
        <v>0</v>
      </c>
      <c r="F20" s="101" t="str">
        <f t="shared" si="13"/>
        <v>Catalogue!$G$20</v>
      </c>
      <c r="G20" s="20"/>
      <c r="H20" s="101">
        <f t="shared" ref="H20:H67" si="15">H19+1</f>
        <v>3</v>
      </c>
      <c r="I20" s="101" t="s">
        <v>745</v>
      </c>
      <c r="J20" s="101">
        <v>1</v>
      </c>
      <c r="K20" s="101">
        <f t="shared" si="14"/>
        <v>0</v>
      </c>
      <c r="L20" s="101" t="str">
        <f>"Catalogue!"&amp;ADDRESS(ROW(L20),COLUMN(M20))</f>
        <v>Catalogue!$M$20</v>
      </c>
      <c r="M20" s="20"/>
    </row>
    <row r="21" spans="2:13" ht="110.1" customHeight="1">
      <c r="B21" s="101"/>
      <c r="C21" s="101" t="s">
        <v>746</v>
      </c>
      <c r="D21" s="101">
        <v>1</v>
      </c>
      <c r="E21" s="101">
        <f t="shared" si="12"/>
        <v>0</v>
      </c>
      <c r="F21" s="101" t="str">
        <f t="shared" si="13"/>
        <v>Catalogue!$G$21</v>
      </c>
      <c r="G21" s="20"/>
      <c r="H21" s="101">
        <f t="shared" si="15"/>
        <v>4</v>
      </c>
      <c r="I21" s="101" t="s">
        <v>746</v>
      </c>
      <c r="J21" s="101">
        <v>1</v>
      </c>
      <c r="K21" s="101">
        <f t="shared" si="14"/>
        <v>0</v>
      </c>
      <c r="L21" s="101" t="str">
        <f>"Catalogue!"&amp;ADDRESS(ROW(L21),COLUMN(M21))</f>
        <v>Catalogue!$M$21</v>
      </c>
      <c r="M21" s="20"/>
    </row>
    <row r="22" spans="2:13" ht="110.1" customHeight="1">
      <c r="B22" s="101">
        <f>'Définition PERGOSOLAR'!G29</f>
        <v>3</v>
      </c>
      <c r="C22" s="101" t="s">
        <v>745</v>
      </c>
      <c r="D22" s="101">
        <v>2</v>
      </c>
      <c r="E22" s="101">
        <f t="shared" si="12"/>
        <v>0</v>
      </c>
      <c r="F22" s="101" t="str">
        <f t="shared" si="13"/>
        <v>Catalogue!$G$22</v>
      </c>
      <c r="G22" s="20"/>
      <c r="H22" s="101">
        <f t="shared" si="15"/>
        <v>5</v>
      </c>
      <c r="I22" s="101" t="s">
        <v>745</v>
      </c>
      <c r="J22" s="101">
        <v>2</v>
      </c>
      <c r="K22" s="101">
        <f t="shared" si="14"/>
        <v>0</v>
      </c>
      <c r="L22" s="101" t="str">
        <f>"Catalogue!"&amp;ADDRESS(ROW(L22),COLUMN(M22))</f>
        <v>Catalogue!$M$22</v>
      </c>
      <c r="M22" s="20"/>
    </row>
    <row r="23" spans="2:13" ht="110.1" customHeight="1">
      <c r="B23" s="101">
        <f>'Définition PERGOSOLAR'!G27</f>
        <v>1</v>
      </c>
      <c r="C23" s="101" t="s">
        <v>746</v>
      </c>
      <c r="D23" s="101">
        <v>2</v>
      </c>
      <c r="E23" s="101">
        <f t="shared" si="12"/>
        <v>0</v>
      </c>
      <c r="F23" s="101" t="str">
        <f t="shared" si="13"/>
        <v>Catalogue!$G$23</v>
      </c>
      <c r="G23" s="20"/>
      <c r="H23" s="101">
        <f t="shared" si="15"/>
        <v>6</v>
      </c>
      <c r="I23" s="101" t="s">
        <v>746</v>
      </c>
      <c r="J23" s="101">
        <v>2</v>
      </c>
      <c r="K23" s="101">
        <f t="shared" si="14"/>
        <v>0</v>
      </c>
      <c r="L23" s="101" t="str">
        <f t="shared" ref="L23:L67" si="16">"Catalogue!"&amp;ADDRESS(ROW(L23),COLUMN(M23))</f>
        <v>Catalogue!$M$23</v>
      </c>
      <c r="M23" s="20"/>
    </row>
    <row r="24" spans="2:13" ht="110.1" customHeight="1">
      <c r="C24" s="101" t="s">
        <v>748</v>
      </c>
      <c r="D24" s="101">
        <v>0</v>
      </c>
      <c r="E24" s="101">
        <f t="shared" si="12"/>
        <v>0</v>
      </c>
      <c r="F24" s="101" t="str">
        <f t="shared" ref="F24:F29" si="17">"Catalogue!"&amp;ADDRESS(ROW(F24),COLUMN(G24))</f>
        <v>Catalogue!$G$24</v>
      </c>
      <c r="G24" s="20"/>
      <c r="H24" s="101">
        <f t="shared" si="15"/>
        <v>7</v>
      </c>
      <c r="I24" s="101" t="s">
        <v>748</v>
      </c>
      <c r="J24" s="101">
        <v>0</v>
      </c>
      <c r="K24" s="101">
        <f t="shared" si="14"/>
        <v>0</v>
      </c>
      <c r="L24" s="101" t="str">
        <f t="shared" si="16"/>
        <v>Catalogue!$M$24</v>
      </c>
      <c r="M24" s="20"/>
    </row>
    <row r="25" spans="2:13" ht="110.1" customHeight="1">
      <c r="C25" s="101" t="s">
        <v>747</v>
      </c>
      <c r="D25" s="101">
        <v>0</v>
      </c>
      <c r="E25" s="101">
        <f t="shared" si="12"/>
        <v>0</v>
      </c>
      <c r="F25" s="101" t="str">
        <f t="shared" si="17"/>
        <v>Catalogue!$G$25</v>
      </c>
      <c r="G25" s="20"/>
      <c r="H25" s="101">
        <f t="shared" si="15"/>
        <v>8</v>
      </c>
      <c r="I25" s="101" t="s">
        <v>747</v>
      </c>
      <c r="J25" s="101">
        <v>0</v>
      </c>
      <c r="K25" s="101">
        <f t="shared" si="14"/>
        <v>0</v>
      </c>
      <c r="L25" s="101" t="str">
        <f t="shared" si="16"/>
        <v>Catalogue!$M$25</v>
      </c>
      <c r="M25" s="20"/>
    </row>
    <row r="26" spans="2:13" ht="110.1" customHeight="1">
      <c r="C26" s="101" t="s">
        <v>748</v>
      </c>
      <c r="D26" s="101">
        <v>1</v>
      </c>
      <c r="E26" s="101">
        <f t="shared" si="12"/>
        <v>0</v>
      </c>
      <c r="F26" s="101" t="str">
        <f t="shared" ref="F26:F27" si="18">"Catalogue!"&amp;ADDRESS(ROW(F26),COLUMN(G26))</f>
        <v>Catalogue!$G$26</v>
      </c>
      <c r="G26" s="20"/>
      <c r="H26" s="101">
        <f t="shared" si="15"/>
        <v>9</v>
      </c>
      <c r="I26" s="101" t="s">
        <v>748</v>
      </c>
      <c r="J26" s="101">
        <v>1</v>
      </c>
      <c r="K26" s="101">
        <f t="shared" si="14"/>
        <v>0</v>
      </c>
      <c r="L26" s="101" t="str">
        <f t="shared" ref="L26:L27" si="19">"Catalogue!"&amp;ADDRESS(ROW(L26),COLUMN(M26))</f>
        <v>Catalogue!$M$26</v>
      </c>
      <c r="M26" s="20"/>
    </row>
    <row r="27" spans="2:13" ht="110.1" customHeight="1">
      <c r="C27" s="101" t="s">
        <v>747</v>
      </c>
      <c r="D27" s="101">
        <v>1</v>
      </c>
      <c r="E27" s="101">
        <f t="shared" si="12"/>
        <v>0</v>
      </c>
      <c r="F27" s="101" t="str">
        <f t="shared" si="18"/>
        <v>Catalogue!$G$27</v>
      </c>
      <c r="G27" s="20"/>
      <c r="H27" s="101">
        <f t="shared" si="15"/>
        <v>10</v>
      </c>
      <c r="I27" s="101" t="s">
        <v>747</v>
      </c>
      <c r="J27" s="101">
        <v>1</v>
      </c>
      <c r="K27" s="101">
        <f t="shared" si="14"/>
        <v>0</v>
      </c>
      <c r="L27" s="101" t="str">
        <f t="shared" si="19"/>
        <v>Catalogue!$M$27</v>
      </c>
      <c r="M27" s="20"/>
    </row>
    <row r="28" spans="2:13" ht="110.1" customHeight="1">
      <c r="C28" s="101" t="s">
        <v>748</v>
      </c>
      <c r="D28" s="101">
        <v>2</v>
      </c>
      <c r="E28" s="101">
        <f t="shared" si="12"/>
        <v>0</v>
      </c>
      <c r="F28" s="101" t="str">
        <f t="shared" si="17"/>
        <v>Catalogue!$G$28</v>
      </c>
      <c r="G28" s="20"/>
      <c r="H28" s="101">
        <f t="shared" si="15"/>
        <v>11</v>
      </c>
      <c r="I28" s="101" t="s">
        <v>748</v>
      </c>
      <c r="J28" s="101">
        <v>2</v>
      </c>
      <c r="K28" s="101">
        <f t="shared" si="14"/>
        <v>0</v>
      </c>
      <c r="L28" s="101" t="str">
        <f t="shared" si="16"/>
        <v>Catalogue!$M$28</v>
      </c>
      <c r="M28" s="20"/>
    </row>
    <row r="29" spans="2:13" ht="110.1" customHeight="1">
      <c r="C29" s="101" t="s">
        <v>747</v>
      </c>
      <c r="D29" s="101">
        <v>2</v>
      </c>
      <c r="E29" s="101">
        <f t="shared" si="12"/>
        <v>0</v>
      </c>
      <c r="F29" s="101" t="str">
        <f t="shared" si="17"/>
        <v>Catalogue!$G$29</v>
      </c>
      <c r="G29" s="20"/>
      <c r="H29" s="101">
        <f t="shared" si="15"/>
        <v>12</v>
      </c>
      <c r="I29" s="101" t="s">
        <v>747</v>
      </c>
      <c r="J29" s="101">
        <v>2</v>
      </c>
      <c r="K29" s="101">
        <f t="shared" si="14"/>
        <v>0</v>
      </c>
      <c r="L29" s="101" t="str">
        <f t="shared" si="16"/>
        <v>Catalogue!$M$29</v>
      </c>
      <c r="M29" s="20"/>
    </row>
    <row r="30" spans="2:13" ht="110.1" customHeight="1">
      <c r="C30" s="101" t="s">
        <v>748</v>
      </c>
      <c r="D30" s="101">
        <v>3</v>
      </c>
      <c r="E30" s="101">
        <f t="shared" si="12"/>
        <v>0</v>
      </c>
      <c r="F30" s="101" t="str">
        <f t="shared" ref="F30:F65" si="20">"Catalogue!"&amp;ADDRESS(ROW(F30),COLUMN(G30))</f>
        <v>Catalogue!$G$30</v>
      </c>
      <c r="G30" s="20"/>
      <c r="H30" s="101">
        <f t="shared" si="15"/>
        <v>13</v>
      </c>
      <c r="I30" s="101" t="s">
        <v>748</v>
      </c>
      <c r="J30" s="101">
        <v>3</v>
      </c>
      <c r="K30" s="101">
        <f t="shared" si="14"/>
        <v>0</v>
      </c>
      <c r="L30" s="101" t="str">
        <f t="shared" si="16"/>
        <v>Catalogue!$M$30</v>
      </c>
      <c r="M30" s="20"/>
    </row>
    <row r="31" spans="2:13" ht="110.1" customHeight="1">
      <c r="C31" s="101" t="s">
        <v>747</v>
      </c>
      <c r="D31" s="101">
        <v>3</v>
      </c>
      <c r="E31" s="101">
        <f t="shared" si="12"/>
        <v>0</v>
      </c>
      <c r="F31" s="101" t="str">
        <f t="shared" si="20"/>
        <v>Catalogue!$G$31</v>
      </c>
      <c r="G31" s="20"/>
      <c r="H31" s="101">
        <f t="shared" si="15"/>
        <v>14</v>
      </c>
      <c r="I31" s="101" t="s">
        <v>747</v>
      </c>
      <c r="J31" s="101">
        <v>3</v>
      </c>
      <c r="K31" s="101">
        <f t="shared" si="14"/>
        <v>0</v>
      </c>
      <c r="L31" s="101" t="str">
        <f t="shared" si="16"/>
        <v>Catalogue!$M$31</v>
      </c>
      <c r="M31" s="20"/>
    </row>
    <row r="32" spans="2:13" s="408" customFormat="1" ht="110.1" customHeight="1">
      <c r="C32" s="454" t="s">
        <v>1005</v>
      </c>
      <c r="D32" s="454">
        <v>0</v>
      </c>
      <c r="E32" s="454">
        <f t="shared" si="12"/>
        <v>0</v>
      </c>
      <c r="F32" s="454" t="str">
        <f t="shared" si="20"/>
        <v>Catalogue!$G$32</v>
      </c>
      <c r="G32" s="409"/>
      <c r="H32" s="454">
        <f>H67+1</f>
        <v>43</v>
      </c>
      <c r="I32" s="454" t="s">
        <v>1005</v>
      </c>
      <c r="J32" s="454">
        <v>0</v>
      </c>
      <c r="K32" s="454">
        <f t="shared" si="14"/>
        <v>0</v>
      </c>
      <c r="L32" s="454" t="str">
        <f t="shared" si="16"/>
        <v>Catalogue!$M$32</v>
      </c>
      <c r="M32" s="409"/>
    </row>
    <row r="33" spans="3:13" s="408" customFormat="1" ht="110.1" customHeight="1">
      <c r="C33" s="454" t="s">
        <v>1006</v>
      </c>
      <c r="D33" s="454">
        <v>0</v>
      </c>
      <c r="E33" s="454">
        <f t="shared" si="12"/>
        <v>0</v>
      </c>
      <c r="F33" s="454" t="str">
        <f t="shared" si="20"/>
        <v>Catalogue!$G$33</v>
      </c>
      <c r="G33" s="409"/>
      <c r="H33" s="454">
        <f>H32+1</f>
        <v>44</v>
      </c>
      <c r="I33" s="454" t="s">
        <v>1006</v>
      </c>
      <c r="J33" s="454">
        <v>0</v>
      </c>
      <c r="K33" s="454">
        <f t="shared" si="14"/>
        <v>0</v>
      </c>
      <c r="L33" s="454" t="str">
        <f t="shared" si="16"/>
        <v>Catalogue!$M$33</v>
      </c>
      <c r="M33" s="409"/>
    </row>
    <row r="34" spans="3:13" s="408" customFormat="1" ht="110.1" customHeight="1">
      <c r="C34" s="454" t="s">
        <v>1005</v>
      </c>
      <c r="D34" s="454">
        <v>1</v>
      </c>
      <c r="E34" s="454">
        <f t="shared" si="12"/>
        <v>0</v>
      </c>
      <c r="F34" s="454" t="str">
        <f t="shared" si="20"/>
        <v>Catalogue!$G$34</v>
      </c>
      <c r="G34" s="409"/>
      <c r="H34" s="454">
        <f t="shared" ref="H34:H39" si="21">H33+1</f>
        <v>45</v>
      </c>
      <c r="I34" s="454" t="s">
        <v>1005</v>
      </c>
      <c r="J34" s="454">
        <v>1</v>
      </c>
      <c r="K34" s="454">
        <f t="shared" si="14"/>
        <v>0</v>
      </c>
      <c r="L34" s="454" t="str">
        <f t="shared" si="16"/>
        <v>Catalogue!$M$34</v>
      </c>
      <c r="M34" s="409"/>
    </row>
    <row r="35" spans="3:13" s="408" customFormat="1" ht="110.1" customHeight="1">
      <c r="C35" s="454" t="s">
        <v>1006</v>
      </c>
      <c r="D35" s="454">
        <v>1</v>
      </c>
      <c r="E35" s="454">
        <f t="shared" si="12"/>
        <v>0</v>
      </c>
      <c r="F35" s="454" t="str">
        <f t="shared" si="20"/>
        <v>Catalogue!$G$35</v>
      </c>
      <c r="G35" s="409"/>
      <c r="H35" s="454">
        <f t="shared" si="21"/>
        <v>46</v>
      </c>
      <c r="I35" s="454" t="s">
        <v>1006</v>
      </c>
      <c r="J35" s="454">
        <v>1</v>
      </c>
      <c r="K35" s="454">
        <f t="shared" si="14"/>
        <v>0</v>
      </c>
      <c r="L35" s="454" t="str">
        <f t="shared" si="16"/>
        <v>Catalogue!$M$35</v>
      </c>
      <c r="M35" s="409"/>
    </row>
    <row r="36" spans="3:13" s="408" customFormat="1" ht="110.1" customHeight="1">
      <c r="C36" s="454" t="s">
        <v>1005</v>
      </c>
      <c r="D36" s="454">
        <v>2</v>
      </c>
      <c r="E36" s="454">
        <f t="shared" si="12"/>
        <v>0</v>
      </c>
      <c r="F36" s="454" t="str">
        <f t="shared" si="20"/>
        <v>Catalogue!$G$36</v>
      </c>
      <c r="G36" s="409"/>
      <c r="H36" s="454">
        <f t="shared" si="21"/>
        <v>47</v>
      </c>
      <c r="I36" s="454" t="s">
        <v>1005</v>
      </c>
      <c r="J36" s="454">
        <v>2</v>
      </c>
      <c r="K36" s="454">
        <f t="shared" si="14"/>
        <v>0</v>
      </c>
      <c r="L36" s="454" t="str">
        <f t="shared" si="16"/>
        <v>Catalogue!$M$36</v>
      </c>
      <c r="M36" s="409"/>
    </row>
    <row r="37" spans="3:13" s="408" customFormat="1" ht="110.1" customHeight="1">
      <c r="C37" s="454" t="s">
        <v>1006</v>
      </c>
      <c r="D37" s="454">
        <v>2</v>
      </c>
      <c r="E37" s="454">
        <f t="shared" si="12"/>
        <v>0</v>
      </c>
      <c r="F37" s="454" t="str">
        <f t="shared" si="20"/>
        <v>Catalogue!$G$37</v>
      </c>
      <c r="G37" s="409"/>
      <c r="H37" s="454">
        <f t="shared" si="21"/>
        <v>48</v>
      </c>
      <c r="I37" s="454" t="s">
        <v>1006</v>
      </c>
      <c r="J37" s="454">
        <v>2</v>
      </c>
      <c r="K37" s="454">
        <f t="shared" si="14"/>
        <v>0</v>
      </c>
      <c r="L37" s="454" t="str">
        <f t="shared" si="16"/>
        <v>Catalogue!$M$37</v>
      </c>
      <c r="M37" s="409"/>
    </row>
    <row r="38" spans="3:13" s="408" customFormat="1" ht="110.1" customHeight="1">
      <c r="C38" s="454" t="s">
        <v>1005</v>
      </c>
      <c r="D38" s="454">
        <v>3</v>
      </c>
      <c r="E38" s="454">
        <f t="shared" si="12"/>
        <v>0</v>
      </c>
      <c r="F38" s="454" t="str">
        <f t="shared" si="20"/>
        <v>Catalogue!$G$38</v>
      </c>
      <c r="G38" s="409"/>
      <c r="H38" s="454">
        <f>H37+1</f>
        <v>49</v>
      </c>
      <c r="I38" s="454" t="s">
        <v>1005</v>
      </c>
      <c r="J38" s="454">
        <v>3</v>
      </c>
      <c r="K38" s="454">
        <f t="shared" si="14"/>
        <v>0</v>
      </c>
      <c r="L38" s="454" t="str">
        <f t="shared" si="16"/>
        <v>Catalogue!$M$38</v>
      </c>
      <c r="M38" s="409"/>
    </row>
    <row r="39" spans="3:13" s="408" customFormat="1" ht="110.1" customHeight="1">
      <c r="C39" s="454" t="s">
        <v>1006</v>
      </c>
      <c r="D39" s="454">
        <v>3</v>
      </c>
      <c r="E39" s="454">
        <f t="shared" si="12"/>
        <v>0</v>
      </c>
      <c r="F39" s="454" t="str">
        <f t="shared" si="20"/>
        <v>Catalogue!$G$39</v>
      </c>
      <c r="G39" s="409"/>
      <c r="H39" s="454">
        <f t="shared" si="21"/>
        <v>50</v>
      </c>
      <c r="I39" s="454" t="s">
        <v>1006</v>
      </c>
      <c r="J39" s="454">
        <v>3</v>
      </c>
      <c r="K39" s="454">
        <f t="shared" si="14"/>
        <v>0</v>
      </c>
      <c r="L39" s="454" t="str">
        <f t="shared" si="16"/>
        <v>Catalogue!$M$39</v>
      </c>
      <c r="M39" s="409"/>
    </row>
    <row r="40" spans="3:13" ht="110.1" customHeight="1">
      <c r="C40" s="101" t="s">
        <v>749</v>
      </c>
      <c r="D40" s="101">
        <v>0</v>
      </c>
      <c r="E40" s="101">
        <f t="shared" si="12"/>
        <v>0</v>
      </c>
      <c r="F40" s="101" t="str">
        <f t="shared" si="20"/>
        <v>Catalogue!$G$40</v>
      </c>
      <c r="G40" s="20"/>
      <c r="H40" s="101">
        <f>H31+1</f>
        <v>15</v>
      </c>
      <c r="I40" s="101" t="s">
        <v>749</v>
      </c>
      <c r="J40" s="101">
        <v>0</v>
      </c>
      <c r="K40" s="101">
        <f t="shared" si="14"/>
        <v>0</v>
      </c>
      <c r="L40" s="101" t="str">
        <f t="shared" si="16"/>
        <v>Catalogue!$M$40</v>
      </c>
      <c r="M40" s="20"/>
    </row>
    <row r="41" spans="3:13" ht="110.1" customHeight="1">
      <c r="C41" s="101" t="s">
        <v>750</v>
      </c>
      <c r="D41" s="101">
        <v>0</v>
      </c>
      <c r="E41" s="101">
        <f t="shared" si="12"/>
        <v>0</v>
      </c>
      <c r="F41" s="101" t="str">
        <f t="shared" si="20"/>
        <v>Catalogue!$G$41</v>
      </c>
      <c r="G41" s="20"/>
      <c r="H41" s="101">
        <f t="shared" si="15"/>
        <v>16</v>
      </c>
      <c r="I41" s="101" t="s">
        <v>750</v>
      </c>
      <c r="J41" s="101">
        <v>0</v>
      </c>
      <c r="K41" s="101">
        <f t="shared" si="14"/>
        <v>0</v>
      </c>
      <c r="L41" s="101" t="str">
        <f t="shared" si="16"/>
        <v>Catalogue!$M$41</v>
      </c>
      <c r="M41" s="20"/>
    </row>
    <row r="42" spans="3:13" ht="110.1" customHeight="1">
      <c r="C42" s="101" t="s">
        <v>749</v>
      </c>
      <c r="D42" s="101">
        <v>1</v>
      </c>
      <c r="E42" s="101">
        <f>IF($B$19=C42,IF($B$22=D42,H42,0),0)</f>
        <v>0</v>
      </c>
      <c r="F42" s="101" t="str">
        <f t="shared" ref="F42:F43" si="22">"Catalogue!"&amp;ADDRESS(ROW(F42),COLUMN(G42))</f>
        <v>Catalogue!$G$42</v>
      </c>
      <c r="G42" s="20"/>
      <c r="H42" s="101">
        <f t="shared" si="15"/>
        <v>17</v>
      </c>
      <c r="I42" s="101" t="s">
        <v>749</v>
      </c>
      <c r="J42" s="101">
        <v>1</v>
      </c>
      <c r="K42" s="101">
        <f t="shared" si="14"/>
        <v>0</v>
      </c>
      <c r="L42" s="101" t="str">
        <f t="shared" ref="L42:L43" si="23">"Catalogue!"&amp;ADDRESS(ROW(L42),COLUMN(M42))</f>
        <v>Catalogue!$M$42</v>
      </c>
      <c r="M42" s="20"/>
    </row>
    <row r="43" spans="3:13" ht="110.1" customHeight="1">
      <c r="C43" s="101" t="s">
        <v>750</v>
      </c>
      <c r="D43" s="101">
        <v>1</v>
      </c>
      <c r="E43" s="101">
        <f t="shared" si="12"/>
        <v>0</v>
      </c>
      <c r="F43" s="101" t="str">
        <f t="shared" si="22"/>
        <v>Catalogue!$G$43</v>
      </c>
      <c r="G43" s="20"/>
      <c r="H43" s="101">
        <f t="shared" si="15"/>
        <v>18</v>
      </c>
      <c r="I43" s="101" t="s">
        <v>750</v>
      </c>
      <c r="J43" s="101">
        <v>1</v>
      </c>
      <c r="K43" s="101">
        <f t="shared" si="14"/>
        <v>18</v>
      </c>
      <c r="L43" s="101" t="str">
        <f t="shared" si="23"/>
        <v>Catalogue!$M$43</v>
      </c>
      <c r="M43" s="20"/>
    </row>
    <row r="44" spans="3:13" ht="110.1" customHeight="1">
      <c r="C44" s="101" t="s">
        <v>749</v>
      </c>
      <c r="D44" s="101">
        <v>2</v>
      </c>
      <c r="E44" s="101">
        <f t="shared" si="12"/>
        <v>0</v>
      </c>
      <c r="F44" s="101" t="str">
        <f t="shared" si="20"/>
        <v>Catalogue!$G$44</v>
      </c>
      <c r="G44" s="20"/>
      <c r="H44" s="101">
        <f t="shared" si="15"/>
        <v>19</v>
      </c>
      <c r="I44" s="101" t="s">
        <v>749</v>
      </c>
      <c r="J44" s="101">
        <v>2</v>
      </c>
      <c r="K44" s="101">
        <f t="shared" si="14"/>
        <v>0</v>
      </c>
      <c r="L44" s="101" t="str">
        <f t="shared" si="16"/>
        <v>Catalogue!$M$44</v>
      </c>
      <c r="M44" s="20"/>
    </row>
    <row r="45" spans="3:13" ht="110.1" customHeight="1">
      <c r="C45" s="101" t="s">
        <v>750</v>
      </c>
      <c r="D45" s="101">
        <v>2</v>
      </c>
      <c r="E45" s="101">
        <f t="shared" si="12"/>
        <v>0</v>
      </c>
      <c r="F45" s="101" t="str">
        <f t="shared" si="20"/>
        <v>Catalogue!$G$45</v>
      </c>
      <c r="G45" s="20"/>
      <c r="H45" s="101">
        <f t="shared" si="15"/>
        <v>20</v>
      </c>
      <c r="I45" s="101" t="s">
        <v>750</v>
      </c>
      <c r="J45" s="101">
        <v>2</v>
      </c>
      <c r="K45" s="101">
        <f t="shared" si="14"/>
        <v>0</v>
      </c>
      <c r="L45" s="101" t="str">
        <f t="shared" si="16"/>
        <v>Catalogue!$M$45</v>
      </c>
      <c r="M45" s="20"/>
    </row>
    <row r="46" spans="3:13" ht="110.1" customHeight="1">
      <c r="C46" s="101" t="s">
        <v>749</v>
      </c>
      <c r="D46" s="101">
        <v>3</v>
      </c>
      <c r="E46" s="101">
        <f t="shared" si="12"/>
        <v>0</v>
      </c>
      <c r="F46" s="101" t="str">
        <f t="shared" si="20"/>
        <v>Catalogue!$G$46</v>
      </c>
      <c r="G46" s="20"/>
      <c r="H46" s="101">
        <f t="shared" si="15"/>
        <v>21</v>
      </c>
      <c r="I46" s="101" t="s">
        <v>749</v>
      </c>
      <c r="J46" s="101">
        <v>3</v>
      </c>
      <c r="K46" s="101">
        <f t="shared" si="14"/>
        <v>0</v>
      </c>
      <c r="L46" s="101" t="str">
        <f t="shared" si="16"/>
        <v>Catalogue!$M$46</v>
      </c>
      <c r="M46" s="20"/>
    </row>
    <row r="47" spans="3:13" ht="110.1" customHeight="1">
      <c r="C47" s="101" t="s">
        <v>750</v>
      </c>
      <c r="D47" s="101">
        <v>3</v>
      </c>
      <c r="E47" s="101">
        <f t="shared" si="12"/>
        <v>22</v>
      </c>
      <c r="F47" s="101" t="str">
        <f t="shared" si="20"/>
        <v>Catalogue!$G$47</v>
      </c>
      <c r="G47" s="20"/>
      <c r="H47" s="101">
        <f t="shared" si="15"/>
        <v>22</v>
      </c>
      <c r="I47" s="101" t="s">
        <v>750</v>
      </c>
      <c r="J47" s="101">
        <v>3</v>
      </c>
      <c r="K47" s="101">
        <f t="shared" si="14"/>
        <v>0</v>
      </c>
      <c r="L47" s="101" t="str">
        <f t="shared" si="16"/>
        <v>Catalogue!$M$47</v>
      </c>
      <c r="M47" s="20"/>
    </row>
    <row r="48" spans="3:13" ht="110.1" customHeight="1">
      <c r="C48" s="101" t="s">
        <v>752</v>
      </c>
      <c r="D48" s="101">
        <v>0</v>
      </c>
      <c r="E48" s="101">
        <f t="shared" si="12"/>
        <v>0</v>
      </c>
      <c r="F48" s="101" t="str">
        <f t="shared" si="20"/>
        <v>Catalogue!$G$48</v>
      </c>
      <c r="G48" s="20"/>
      <c r="H48" s="101">
        <f t="shared" si="15"/>
        <v>23</v>
      </c>
      <c r="I48" s="101" t="s">
        <v>752</v>
      </c>
      <c r="J48" s="101">
        <v>0</v>
      </c>
      <c r="K48" s="101">
        <f t="shared" si="14"/>
        <v>0</v>
      </c>
      <c r="L48" s="101" t="str">
        <f t="shared" si="16"/>
        <v>Catalogue!$M$48</v>
      </c>
      <c r="M48" s="20"/>
    </row>
    <row r="49" spans="3:13" ht="110.1" customHeight="1">
      <c r="C49" s="101" t="s">
        <v>751</v>
      </c>
      <c r="D49" s="101">
        <v>0</v>
      </c>
      <c r="E49" s="101">
        <f t="shared" si="12"/>
        <v>0</v>
      </c>
      <c r="F49" s="101" t="str">
        <f t="shared" si="20"/>
        <v>Catalogue!$G$49</v>
      </c>
      <c r="G49" s="20"/>
      <c r="H49" s="101">
        <f t="shared" si="15"/>
        <v>24</v>
      </c>
      <c r="I49" s="101" t="s">
        <v>751</v>
      </c>
      <c r="J49" s="101">
        <v>0</v>
      </c>
      <c r="K49" s="101">
        <f t="shared" si="14"/>
        <v>0</v>
      </c>
      <c r="L49" s="101" t="str">
        <f t="shared" si="16"/>
        <v>Catalogue!$M$49</v>
      </c>
      <c r="M49" s="20"/>
    </row>
    <row r="50" spans="3:13" ht="110.1" customHeight="1">
      <c r="C50" s="101" t="s">
        <v>752</v>
      </c>
      <c r="D50" s="101">
        <v>1</v>
      </c>
      <c r="E50" s="101">
        <f t="shared" si="12"/>
        <v>0</v>
      </c>
      <c r="F50" s="101" t="str">
        <f t="shared" ref="F50:F51" si="24">"Catalogue!"&amp;ADDRESS(ROW(F50),COLUMN(G50))</f>
        <v>Catalogue!$G$50</v>
      </c>
      <c r="G50" s="20"/>
      <c r="H50" s="101">
        <f t="shared" si="15"/>
        <v>25</v>
      </c>
      <c r="I50" s="101" t="s">
        <v>752</v>
      </c>
      <c r="J50" s="101">
        <v>1</v>
      </c>
      <c r="K50" s="101">
        <f t="shared" si="14"/>
        <v>0</v>
      </c>
      <c r="L50" s="101" t="str">
        <f t="shared" ref="L50:L51" si="25">"Catalogue!"&amp;ADDRESS(ROW(L50),COLUMN(M50))</f>
        <v>Catalogue!$M$50</v>
      </c>
      <c r="M50" s="20"/>
    </row>
    <row r="51" spans="3:13" ht="110.1" customHeight="1">
      <c r="C51" s="101" t="s">
        <v>751</v>
      </c>
      <c r="D51" s="101">
        <v>1</v>
      </c>
      <c r="E51" s="101">
        <f t="shared" si="12"/>
        <v>0</v>
      </c>
      <c r="F51" s="101" t="str">
        <f t="shared" si="24"/>
        <v>Catalogue!$G$51</v>
      </c>
      <c r="G51" s="20"/>
      <c r="H51" s="101">
        <f t="shared" si="15"/>
        <v>26</v>
      </c>
      <c r="I51" s="101" t="s">
        <v>751</v>
      </c>
      <c r="J51" s="101">
        <v>1</v>
      </c>
      <c r="K51" s="101">
        <f t="shared" si="14"/>
        <v>0</v>
      </c>
      <c r="L51" s="101" t="str">
        <f t="shared" si="25"/>
        <v>Catalogue!$M$51</v>
      </c>
      <c r="M51" s="20"/>
    </row>
    <row r="52" spans="3:13" ht="110.1" customHeight="1">
      <c r="C52" s="101" t="s">
        <v>752</v>
      </c>
      <c r="D52" s="101">
        <v>2</v>
      </c>
      <c r="E52" s="101">
        <f t="shared" si="12"/>
        <v>0</v>
      </c>
      <c r="F52" s="101" t="str">
        <f t="shared" ref="F52:F57" si="26">"Catalogue!"&amp;ADDRESS(ROW(F52),COLUMN(G52))</f>
        <v>Catalogue!$G$52</v>
      </c>
      <c r="G52" s="20"/>
      <c r="H52" s="101">
        <f t="shared" si="15"/>
        <v>27</v>
      </c>
      <c r="I52" s="101" t="s">
        <v>752</v>
      </c>
      <c r="J52" s="101">
        <v>2</v>
      </c>
      <c r="K52" s="101">
        <f t="shared" si="14"/>
        <v>0</v>
      </c>
      <c r="L52" s="101" t="str">
        <f t="shared" si="16"/>
        <v>Catalogue!$M$52</v>
      </c>
      <c r="M52" s="20"/>
    </row>
    <row r="53" spans="3:13" ht="110.1" customHeight="1">
      <c r="C53" s="101" t="s">
        <v>751</v>
      </c>
      <c r="D53" s="101">
        <v>2</v>
      </c>
      <c r="E53" s="101">
        <f t="shared" si="12"/>
        <v>0</v>
      </c>
      <c r="F53" s="101" t="str">
        <f t="shared" si="26"/>
        <v>Catalogue!$G$53</v>
      </c>
      <c r="G53" s="20"/>
      <c r="H53" s="101">
        <f t="shared" si="15"/>
        <v>28</v>
      </c>
      <c r="I53" s="101" t="s">
        <v>751</v>
      </c>
      <c r="J53" s="101">
        <v>2</v>
      </c>
      <c r="K53" s="101">
        <f t="shared" si="14"/>
        <v>0</v>
      </c>
      <c r="L53" s="101" t="str">
        <f t="shared" si="16"/>
        <v>Catalogue!$M$53</v>
      </c>
      <c r="M53" s="20"/>
    </row>
    <row r="54" spans="3:13" ht="110.1" customHeight="1">
      <c r="C54" s="101" t="s">
        <v>752</v>
      </c>
      <c r="D54" s="101">
        <v>3</v>
      </c>
      <c r="E54" s="101">
        <f t="shared" si="12"/>
        <v>0</v>
      </c>
      <c r="F54" s="101" t="str">
        <f t="shared" si="26"/>
        <v>Catalogue!$G$54</v>
      </c>
      <c r="G54" s="20"/>
      <c r="H54" s="101">
        <f t="shared" si="15"/>
        <v>29</v>
      </c>
      <c r="I54" s="101" t="s">
        <v>752</v>
      </c>
      <c r="J54" s="101">
        <v>3</v>
      </c>
      <c r="K54" s="101">
        <f t="shared" si="14"/>
        <v>0</v>
      </c>
      <c r="L54" s="101" t="str">
        <f t="shared" si="16"/>
        <v>Catalogue!$M$54</v>
      </c>
      <c r="M54" s="20"/>
    </row>
    <row r="55" spans="3:13" ht="110.1" customHeight="1">
      <c r="C55" s="101" t="s">
        <v>751</v>
      </c>
      <c r="D55" s="101">
        <v>3</v>
      </c>
      <c r="E55" s="101">
        <f t="shared" si="12"/>
        <v>0</v>
      </c>
      <c r="F55" s="101" t="str">
        <f t="shared" si="26"/>
        <v>Catalogue!$G$55</v>
      </c>
      <c r="G55" s="20"/>
      <c r="H55" s="101">
        <f t="shared" si="15"/>
        <v>30</v>
      </c>
      <c r="I55" s="101" t="s">
        <v>751</v>
      </c>
      <c r="J55" s="101">
        <v>3</v>
      </c>
      <c r="K55" s="101">
        <f t="shared" si="14"/>
        <v>0</v>
      </c>
      <c r="L55" s="101" t="str">
        <f t="shared" si="16"/>
        <v>Catalogue!$M$55</v>
      </c>
      <c r="M55" s="20"/>
    </row>
    <row r="56" spans="3:13" ht="110.1" customHeight="1">
      <c r="C56" s="101" t="s">
        <v>752</v>
      </c>
      <c r="D56" s="101">
        <v>4</v>
      </c>
      <c r="E56" s="101">
        <f t="shared" si="12"/>
        <v>0</v>
      </c>
      <c r="F56" s="101" t="str">
        <f t="shared" si="26"/>
        <v>Catalogue!$G$56</v>
      </c>
      <c r="G56" s="20"/>
      <c r="H56" s="101">
        <f t="shared" si="15"/>
        <v>31</v>
      </c>
      <c r="I56" s="101" t="s">
        <v>752</v>
      </c>
      <c r="J56" s="101">
        <v>4</v>
      </c>
      <c r="K56" s="101">
        <f t="shared" si="14"/>
        <v>0</v>
      </c>
      <c r="L56" s="101" t="str">
        <f t="shared" si="16"/>
        <v>Catalogue!$M$56</v>
      </c>
      <c r="M56" s="20"/>
    </row>
    <row r="57" spans="3:13" ht="110.1" customHeight="1">
      <c r="C57" s="101" t="s">
        <v>751</v>
      </c>
      <c r="D57" s="101">
        <v>4</v>
      </c>
      <c r="E57" s="101">
        <f t="shared" si="12"/>
        <v>0</v>
      </c>
      <c r="F57" s="101" t="str">
        <f t="shared" si="26"/>
        <v>Catalogue!$G$57</v>
      </c>
      <c r="G57" s="20"/>
      <c r="H57" s="101">
        <f t="shared" si="15"/>
        <v>32</v>
      </c>
      <c r="I57" s="101" t="s">
        <v>751</v>
      </c>
      <c r="J57" s="101">
        <v>4</v>
      </c>
      <c r="K57" s="101">
        <f t="shared" si="14"/>
        <v>0</v>
      </c>
      <c r="L57" s="101" t="str">
        <f t="shared" si="16"/>
        <v>Catalogue!$M$57</v>
      </c>
      <c r="M57" s="20"/>
    </row>
    <row r="58" spans="3:13" ht="110.1" customHeight="1">
      <c r="C58" s="101" t="s">
        <v>753</v>
      </c>
      <c r="D58" s="101">
        <v>0</v>
      </c>
      <c r="E58" s="101">
        <f t="shared" si="12"/>
        <v>0</v>
      </c>
      <c r="F58" s="101" t="str">
        <f t="shared" si="20"/>
        <v>Catalogue!$G$58</v>
      </c>
      <c r="G58" s="20"/>
      <c r="H58" s="101">
        <f t="shared" si="15"/>
        <v>33</v>
      </c>
      <c r="I58" s="101" t="s">
        <v>753</v>
      </c>
      <c r="J58" s="101">
        <v>0</v>
      </c>
      <c r="K58" s="101">
        <f t="shared" si="14"/>
        <v>0</v>
      </c>
      <c r="L58" s="101" t="str">
        <f t="shared" si="16"/>
        <v>Catalogue!$M$58</v>
      </c>
      <c r="M58" s="20"/>
    </row>
    <row r="59" spans="3:13" ht="110.1" customHeight="1">
      <c r="C59" s="101" t="s">
        <v>754</v>
      </c>
      <c r="D59" s="101">
        <v>0</v>
      </c>
      <c r="E59" s="101">
        <f t="shared" si="12"/>
        <v>0</v>
      </c>
      <c r="F59" s="101" t="str">
        <f t="shared" si="20"/>
        <v>Catalogue!$G$59</v>
      </c>
      <c r="G59" s="20"/>
      <c r="H59" s="101">
        <f t="shared" si="15"/>
        <v>34</v>
      </c>
      <c r="I59" s="101" t="s">
        <v>754</v>
      </c>
      <c r="J59" s="101">
        <v>0</v>
      </c>
      <c r="K59" s="101">
        <f t="shared" si="14"/>
        <v>0</v>
      </c>
      <c r="L59" s="101" t="str">
        <f t="shared" si="16"/>
        <v>Catalogue!$M$59</v>
      </c>
      <c r="M59" s="20"/>
    </row>
    <row r="60" spans="3:13" ht="110.1" customHeight="1">
      <c r="C60" s="101" t="s">
        <v>753</v>
      </c>
      <c r="D60" s="101">
        <v>1</v>
      </c>
      <c r="E60" s="101">
        <f t="shared" si="12"/>
        <v>0</v>
      </c>
      <c r="F60" s="101" t="str">
        <f t="shared" ref="F60:F61" si="27">"Catalogue!"&amp;ADDRESS(ROW(F60),COLUMN(G60))</f>
        <v>Catalogue!$G$60</v>
      </c>
      <c r="G60" s="20"/>
      <c r="H60" s="101">
        <f t="shared" si="15"/>
        <v>35</v>
      </c>
      <c r="I60" s="101" t="s">
        <v>753</v>
      </c>
      <c r="J60" s="101">
        <v>1</v>
      </c>
      <c r="K60" s="101">
        <f t="shared" si="14"/>
        <v>0</v>
      </c>
      <c r="L60" s="101" t="str">
        <f t="shared" ref="L60:L61" si="28">"Catalogue!"&amp;ADDRESS(ROW(L60),COLUMN(M60))</f>
        <v>Catalogue!$M$60</v>
      </c>
      <c r="M60" s="20"/>
    </row>
    <row r="61" spans="3:13" ht="110.1" customHeight="1">
      <c r="C61" s="101" t="s">
        <v>754</v>
      </c>
      <c r="D61" s="101">
        <v>1</v>
      </c>
      <c r="E61" s="101">
        <f t="shared" si="12"/>
        <v>0</v>
      </c>
      <c r="F61" s="101" t="str">
        <f t="shared" si="27"/>
        <v>Catalogue!$G$61</v>
      </c>
      <c r="G61" s="20"/>
      <c r="H61" s="101">
        <f t="shared" si="15"/>
        <v>36</v>
      </c>
      <c r="I61" s="101" t="s">
        <v>754</v>
      </c>
      <c r="J61" s="101">
        <v>1</v>
      </c>
      <c r="K61" s="101">
        <f t="shared" si="14"/>
        <v>0</v>
      </c>
      <c r="L61" s="101" t="str">
        <f t="shared" si="28"/>
        <v>Catalogue!$M$61</v>
      </c>
      <c r="M61" s="20"/>
    </row>
    <row r="62" spans="3:13" ht="110.1" customHeight="1">
      <c r="C62" s="101" t="s">
        <v>753</v>
      </c>
      <c r="D62" s="101">
        <v>2</v>
      </c>
      <c r="E62" s="101">
        <f t="shared" si="12"/>
        <v>0</v>
      </c>
      <c r="F62" s="101" t="str">
        <f t="shared" si="20"/>
        <v>Catalogue!$G$62</v>
      </c>
      <c r="G62" s="20"/>
      <c r="H62" s="101">
        <f t="shared" si="15"/>
        <v>37</v>
      </c>
      <c r="I62" s="101" t="s">
        <v>753</v>
      </c>
      <c r="J62" s="101">
        <v>2</v>
      </c>
      <c r="K62" s="101">
        <f t="shared" si="14"/>
        <v>0</v>
      </c>
      <c r="L62" s="101" t="str">
        <f t="shared" si="16"/>
        <v>Catalogue!$M$62</v>
      </c>
      <c r="M62" s="20"/>
    </row>
    <row r="63" spans="3:13" ht="110.1" customHeight="1">
      <c r="C63" s="101" t="s">
        <v>754</v>
      </c>
      <c r="D63" s="101">
        <v>2</v>
      </c>
      <c r="E63" s="101">
        <f t="shared" si="12"/>
        <v>0</v>
      </c>
      <c r="F63" s="101" t="str">
        <f t="shared" si="20"/>
        <v>Catalogue!$G$63</v>
      </c>
      <c r="G63" s="20"/>
      <c r="H63" s="101">
        <f t="shared" si="15"/>
        <v>38</v>
      </c>
      <c r="I63" s="101" t="s">
        <v>754</v>
      </c>
      <c r="J63" s="101">
        <v>2</v>
      </c>
      <c r="K63" s="101">
        <f t="shared" si="14"/>
        <v>0</v>
      </c>
      <c r="L63" s="101" t="str">
        <f t="shared" si="16"/>
        <v>Catalogue!$M$63</v>
      </c>
      <c r="M63" s="20"/>
    </row>
    <row r="64" spans="3:13" ht="110.1" customHeight="1">
      <c r="C64" s="101" t="s">
        <v>753</v>
      </c>
      <c r="D64" s="101">
        <v>3</v>
      </c>
      <c r="E64" s="101">
        <f t="shared" si="12"/>
        <v>0</v>
      </c>
      <c r="F64" s="101" t="str">
        <f t="shared" si="20"/>
        <v>Catalogue!$G$64</v>
      </c>
      <c r="G64" s="20"/>
      <c r="H64" s="101">
        <f t="shared" si="15"/>
        <v>39</v>
      </c>
      <c r="I64" s="101" t="s">
        <v>753</v>
      </c>
      <c r="J64" s="101">
        <v>3</v>
      </c>
      <c r="K64" s="101">
        <f t="shared" si="14"/>
        <v>0</v>
      </c>
      <c r="L64" s="101" t="str">
        <f t="shared" si="16"/>
        <v>Catalogue!$M$64</v>
      </c>
      <c r="M64" s="20"/>
    </row>
    <row r="65" spans="1:15" ht="110.1" customHeight="1">
      <c r="C65" s="101" t="s">
        <v>754</v>
      </c>
      <c r="D65" s="101">
        <v>3</v>
      </c>
      <c r="E65" s="101">
        <f t="shared" si="12"/>
        <v>0</v>
      </c>
      <c r="F65" s="101" t="str">
        <f t="shared" si="20"/>
        <v>Catalogue!$G$65</v>
      </c>
      <c r="G65" s="20"/>
      <c r="H65" s="101">
        <f t="shared" si="15"/>
        <v>40</v>
      </c>
      <c r="I65" s="101" t="s">
        <v>754</v>
      </c>
      <c r="J65" s="101">
        <v>3</v>
      </c>
      <c r="K65" s="101">
        <f t="shared" si="14"/>
        <v>0</v>
      </c>
      <c r="L65" s="101" t="str">
        <f t="shared" si="16"/>
        <v>Catalogue!$M$65</v>
      </c>
      <c r="M65" s="20"/>
    </row>
    <row r="66" spans="1:15" ht="110.1" customHeight="1">
      <c r="C66" s="101" t="s">
        <v>753</v>
      </c>
      <c r="D66" s="101">
        <v>4</v>
      </c>
      <c r="E66" s="101">
        <f t="shared" si="12"/>
        <v>0</v>
      </c>
      <c r="F66" s="101" t="str">
        <f t="shared" ref="F66:F67" si="29">"Catalogue!"&amp;ADDRESS(ROW(F66),COLUMN(G66))</f>
        <v>Catalogue!$G$66</v>
      </c>
      <c r="G66" s="20"/>
      <c r="H66" s="101">
        <f t="shared" si="15"/>
        <v>41</v>
      </c>
      <c r="I66" s="101" t="s">
        <v>753</v>
      </c>
      <c r="J66" s="101">
        <v>4</v>
      </c>
      <c r="K66" s="101">
        <f t="shared" si="14"/>
        <v>0</v>
      </c>
      <c r="L66" s="101" t="str">
        <f t="shared" si="16"/>
        <v>Catalogue!$M$66</v>
      </c>
      <c r="M66" s="20"/>
    </row>
    <row r="67" spans="1:15" ht="110.1" customHeight="1" thickBot="1">
      <c r="C67" s="101" t="s">
        <v>754</v>
      </c>
      <c r="D67" s="101">
        <v>4</v>
      </c>
      <c r="E67" s="103">
        <f t="shared" si="12"/>
        <v>0</v>
      </c>
      <c r="F67" s="101" t="str">
        <f t="shared" si="29"/>
        <v>Catalogue!$G$67</v>
      </c>
      <c r="G67" s="20"/>
      <c r="H67" s="101">
        <f t="shared" si="15"/>
        <v>42</v>
      </c>
      <c r="I67" s="101" t="s">
        <v>754</v>
      </c>
      <c r="J67" s="101">
        <v>4</v>
      </c>
      <c r="K67" s="101">
        <f t="shared" si="14"/>
        <v>0</v>
      </c>
      <c r="L67" s="101" t="str">
        <f t="shared" si="16"/>
        <v>Catalogue!$M$67</v>
      </c>
      <c r="M67" s="20"/>
    </row>
    <row r="68" spans="1:15" ht="110.1" customHeight="1" thickBot="1">
      <c r="E68" s="104">
        <f>SUM(E18:E67)</f>
        <v>22</v>
      </c>
      <c r="K68" s="106">
        <f>IF('Définition PERGOSOLAR'!G26="yes",SUM(K18:K67),0)</f>
        <v>0</v>
      </c>
    </row>
    <row r="69" spans="1:15" ht="23.25" customHeight="1">
      <c r="E69" s="102"/>
      <c r="J69" s="848" t="s">
        <v>508</v>
      </c>
      <c r="K69" s="849"/>
    </row>
    <row r="70" spans="1:15" ht="101.25" customHeight="1">
      <c r="C70" s="267" t="s">
        <v>0</v>
      </c>
      <c r="D70" s="267" t="s">
        <v>499</v>
      </c>
      <c r="E70" s="268"/>
      <c r="F70" s="268"/>
      <c r="G70" s="267" t="s">
        <v>485</v>
      </c>
      <c r="H70" s="267" t="s">
        <v>502</v>
      </c>
      <c r="I70" s="267" t="s">
        <v>504</v>
      </c>
      <c r="J70" s="267" t="s">
        <v>506</v>
      </c>
      <c r="K70" s="267" t="s">
        <v>507</v>
      </c>
      <c r="L70" s="267" t="s">
        <v>503</v>
      </c>
      <c r="M70" s="267" t="s">
        <v>505</v>
      </c>
      <c r="N70" s="267" t="s">
        <v>509</v>
      </c>
      <c r="O70" s="108" t="s">
        <v>512</v>
      </c>
    </row>
    <row r="71" spans="1:15" ht="159.94999999999999" customHeight="1">
      <c r="A71" s="84"/>
      <c r="B71" s="116" t="str">
        <f>'Définition PERGOSOLAR'!G15</f>
        <v>3x3 4 Pieds</v>
      </c>
      <c r="C71" s="107" t="s">
        <v>745</v>
      </c>
      <c r="D71" s="107">
        <f>N71</f>
        <v>0</v>
      </c>
      <c r="E71" s="107" t="str">
        <f t="shared" ref="E71:E78" si="30">"Catalogue!"&amp;ADDRESS(ROW(E71),COLUMN(F71))</f>
        <v>Catalogue!$F$71</v>
      </c>
      <c r="F71" s="20"/>
      <c r="G71" s="252">
        <v>1</v>
      </c>
      <c r="H71" s="252">
        <f t="shared" ref="H71:H114" si="31">IF($B$71=C71,IF($B$82="Yes",1,0),0)</f>
        <v>0</v>
      </c>
      <c r="I71" s="252">
        <v>0</v>
      </c>
      <c r="J71" s="253">
        <f>IF(H71=1,IF(I71=1,G71,0),0)</f>
        <v>0</v>
      </c>
      <c r="K71" s="253">
        <f t="shared" ref="K71:K114" si="32">IF($B$71=C71,IF($B$82="No",IF(I71=0,G71,0),0),0)</f>
        <v>0</v>
      </c>
      <c r="L71" s="252">
        <f>IF($B$71=C71,IF($B$75="Yes",4+2*$B$79,0),0)</f>
        <v>0</v>
      </c>
      <c r="M71" s="252">
        <v>0</v>
      </c>
      <c r="N71" s="253">
        <f>IF(L71=M71,K71+J71,0)</f>
        <v>0</v>
      </c>
      <c r="O71" s="118">
        <f t="shared" ref="O71:O133" si="33">IF(L71&gt;0,IF(M71&gt;0,IF(L71&lt;=M71,0,1),0),0)</f>
        <v>0</v>
      </c>
    </row>
    <row r="72" spans="1:15" ht="159.94999999999999" customHeight="1">
      <c r="A72" s="84"/>
      <c r="B72" s="101"/>
      <c r="C72" s="107" t="s">
        <v>745</v>
      </c>
      <c r="D72" s="107">
        <f>N72</f>
        <v>0</v>
      </c>
      <c r="E72" s="107" t="str">
        <f t="shared" si="30"/>
        <v>Catalogue!$F$72</v>
      </c>
      <c r="F72" s="20"/>
      <c r="G72" s="252">
        <f>G71+1</f>
        <v>2</v>
      </c>
      <c r="H72" s="252">
        <f t="shared" si="31"/>
        <v>0</v>
      </c>
      <c r="I72" s="252">
        <v>0</v>
      </c>
      <c r="J72" s="253">
        <f>IF(H72=1,IF(I72=1,G72,0),0)</f>
        <v>0</v>
      </c>
      <c r="K72" s="253">
        <f t="shared" si="32"/>
        <v>0</v>
      </c>
      <c r="L72" s="252">
        <f t="shared" ref="L72:L134" si="34">IF($B$71=C72,IF($B$75="Yes",4+2*$B$79,0),0)</f>
        <v>0</v>
      </c>
      <c r="M72" s="252">
        <v>4</v>
      </c>
      <c r="N72" s="253">
        <f>IF(L72=M72,K72+J72,0)</f>
        <v>0</v>
      </c>
      <c r="O72" s="118">
        <f t="shared" si="33"/>
        <v>0</v>
      </c>
    </row>
    <row r="73" spans="1:15" ht="159.94999999999999" customHeight="1">
      <c r="A73" s="84"/>
      <c r="B73" s="101"/>
      <c r="C73" s="107" t="s">
        <v>745</v>
      </c>
      <c r="D73" s="107">
        <f t="shared" ref="D73:D111" si="35">N73</f>
        <v>0</v>
      </c>
      <c r="E73" s="107" t="str">
        <f t="shared" si="30"/>
        <v>Catalogue!$F$73</v>
      </c>
      <c r="F73" s="20"/>
      <c r="G73" s="252">
        <f t="shared" ref="G73:G134" si="36">G72+1</f>
        <v>3</v>
      </c>
      <c r="H73" s="252">
        <f t="shared" si="31"/>
        <v>0</v>
      </c>
      <c r="I73" s="252">
        <v>1</v>
      </c>
      <c r="J73" s="253">
        <f t="shared" ref="J73:J111" si="37">IF(H73=1,IF(I73=1,G73,0),0)</f>
        <v>0</v>
      </c>
      <c r="K73" s="253">
        <f t="shared" si="32"/>
        <v>0</v>
      </c>
      <c r="L73" s="252">
        <f t="shared" si="34"/>
        <v>0</v>
      </c>
      <c r="M73" s="252">
        <v>0</v>
      </c>
      <c r="N73" s="253">
        <f t="shared" ref="N73:N111" si="38">IF(L73=M73,K73+J73,0)</f>
        <v>0</v>
      </c>
      <c r="O73" s="118">
        <f t="shared" si="33"/>
        <v>0</v>
      </c>
    </row>
    <row r="74" spans="1:15" ht="159.94999999999999" customHeight="1">
      <c r="A74" s="84"/>
      <c r="B74" s="101"/>
      <c r="C74" s="107" t="s">
        <v>745</v>
      </c>
      <c r="D74" s="107">
        <f t="shared" ref="D74" si="39">N74</f>
        <v>0</v>
      </c>
      <c r="E74" s="107" t="str">
        <f t="shared" si="30"/>
        <v>Catalogue!$F$74</v>
      </c>
      <c r="F74" s="20"/>
      <c r="G74" s="252">
        <f t="shared" si="36"/>
        <v>4</v>
      </c>
      <c r="H74" s="252">
        <f t="shared" si="31"/>
        <v>0</v>
      </c>
      <c r="I74" s="252">
        <v>1</v>
      </c>
      <c r="J74" s="253">
        <f t="shared" ref="J74" si="40">IF(H74=1,IF(I74=1,G74,0),0)</f>
        <v>0</v>
      </c>
      <c r="K74" s="253">
        <f t="shared" si="32"/>
        <v>0</v>
      </c>
      <c r="L74" s="252">
        <f t="shared" si="34"/>
        <v>0</v>
      </c>
      <c r="M74" s="252">
        <v>4</v>
      </c>
      <c r="N74" s="253">
        <f t="shared" ref="N74" si="41">IF(L74=M74,K74+J74,0)</f>
        <v>0</v>
      </c>
      <c r="O74" s="118">
        <f t="shared" si="33"/>
        <v>0</v>
      </c>
    </row>
    <row r="75" spans="1:15" ht="159.94999999999999" customHeight="1">
      <c r="A75" s="114" t="s">
        <v>498</v>
      </c>
      <c r="B75" s="116" t="str">
        <f>'Définition PERGOSOLAR'!G35</f>
        <v>No</v>
      </c>
      <c r="C75" s="109" t="s">
        <v>746</v>
      </c>
      <c r="D75" s="109">
        <f t="shared" si="35"/>
        <v>0</v>
      </c>
      <c r="E75" s="109" t="str">
        <f t="shared" si="30"/>
        <v>Catalogue!$F$75</v>
      </c>
      <c r="F75" s="20"/>
      <c r="G75" s="254">
        <f t="shared" si="36"/>
        <v>5</v>
      </c>
      <c r="H75" s="254">
        <f t="shared" si="31"/>
        <v>0</v>
      </c>
      <c r="I75" s="254">
        <v>0</v>
      </c>
      <c r="J75" s="255">
        <f t="shared" si="37"/>
        <v>0</v>
      </c>
      <c r="K75" s="255">
        <f t="shared" si="32"/>
        <v>0</v>
      </c>
      <c r="L75" s="252">
        <f t="shared" si="34"/>
        <v>0</v>
      </c>
      <c r="M75" s="254">
        <v>0</v>
      </c>
      <c r="N75" s="255">
        <f t="shared" si="38"/>
        <v>0</v>
      </c>
      <c r="O75" s="118">
        <f t="shared" si="33"/>
        <v>0</v>
      </c>
    </row>
    <row r="76" spans="1:15" ht="159.94999999999999" customHeight="1">
      <c r="A76" s="84"/>
      <c r="B76" s="101"/>
      <c r="C76" s="109" t="s">
        <v>746</v>
      </c>
      <c r="D76" s="109">
        <f t="shared" ref="D76" si="42">N76</f>
        <v>0</v>
      </c>
      <c r="E76" s="109" t="str">
        <f t="shared" si="30"/>
        <v>Catalogue!$F$76</v>
      </c>
      <c r="F76" s="20"/>
      <c r="G76" s="254">
        <f t="shared" si="36"/>
        <v>6</v>
      </c>
      <c r="H76" s="254">
        <f t="shared" si="31"/>
        <v>0</v>
      </c>
      <c r="I76" s="254">
        <v>0</v>
      </c>
      <c r="J76" s="255">
        <f t="shared" ref="J76" si="43">IF(H76=1,IF(I76=1,G76,0),0)</f>
        <v>0</v>
      </c>
      <c r="K76" s="255">
        <f t="shared" si="32"/>
        <v>0</v>
      </c>
      <c r="L76" s="252">
        <f t="shared" si="34"/>
        <v>0</v>
      </c>
      <c r="M76" s="254">
        <v>4</v>
      </c>
      <c r="N76" s="255">
        <f t="shared" ref="N76" si="44">IF(L76=M76,K76+J76,0)</f>
        <v>0</v>
      </c>
      <c r="O76" s="118">
        <f t="shared" si="33"/>
        <v>0</v>
      </c>
    </row>
    <row r="77" spans="1:15" ht="159.94999999999999" customHeight="1">
      <c r="A77" s="84"/>
      <c r="B77" s="101"/>
      <c r="C77" s="109" t="s">
        <v>746</v>
      </c>
      <c r="D77" s="109">
        <f t="shared" si="35"/>
        <v>0</v>
      </c>
      <c r="E77" s="109" t="str">
        <f t="shared" si="30"/>
        <v>Catalogue!$F$77</v>
      </c>
      <c r="F77" s="20"/>
      <c r="G77" s="254">
        <f t="shared" si="36"/>
        <v>7</v>
      </c>
      <c r="H77" s="254">
        <f t="shared" si="31"/>
        <v>0</v>
      </c>
      <c r="I77" s="254">
        <v>1</v>
      </c>
      <c r="J77" s="255">
        <f t="shared" si="37"/>
        <v>0</v>
      </c>
      <c r="K77" s="255">
        <f t="shared" si="32"/>
        <v>0</v>
      </c>
      <c r="L77" s="252">
        <f t="shared" si="34"/>
        <v>0</v>
      </c>
      <c r="M77" s="254">
        <v>0</v>
      </c>
      <c r="N77" s="255">
        <f t="shared" si="38"/>
        <v>0</v>
      </c>
      <c r="O77" s="118">
        <f t="shared" si="33"/>
        <v>0</v>
      </c>
    </row>
    <row r="78" spans="1:15" ht="159.94999999999999" customHeight="1">
      <c r="A78" s="84"/>
      <c r="B78" s="101"/>
      <c r="C78" s="109" t="s">
        <v>746</v>
      </c>
      <c r="D78" s="109">
        <f t="shared" ref="D78" si="45">N78</f>
        <v>0</v>
      </c>
      <c r="E78" s="109" t="str">
        <f t="shared" si="30"/>
        <v>Catalogue!$F$78</v>
      </c>
      <c r="F78" s="20"/>
      <c r="G78" s="254">
        <f t="shared" si="36"/>
        <v>8</v>
      </c>
      <c r="H78" s="254">
        <f t="shared" si="31"/>
        <v>0</v>
      </c>
      <c r="I78" s="254">
        <v>1</v>
      </c>
      <c r="J78" s="255">
        <f t="shared" ref="J78" si="46">IF(H78=1,IF(I78=1,G78,0),0)</f>
        <v>0</v>
      </c>
      <c r="K78" s="255">
        <f t="shared" si="32"/>
        <v>0</v>
      </c>
      <c r="L78" s="252">
        <f t="shared" si="34"/>
        <v>0</v>
      </c>
      <c r="M78" s="254">
        <v>4</v>
      </c>
      <c r="N78" s="255">
        <f t="shared" ref="N78" si="47">IF(L78=M78,K78+J78,0)</f>
        <v>0</v>
      </c>
      <c r="O78" s="118">
        <f t="shared" si="33"/>
        <v>0</v>
      </c>
    </row>
    <row r="79" spans="1:15" ht="159.94999999999999" customHeight="1">
      <c r="A79" s="114" t="s">
        <v>500</v>
      </c>
      <c r="B79" s="116">
        <f>'Définition PERGOSOLAR'!G36</f>
        <v>0</v>
      </c>
      <c r="C79" s="111" t="s">
        <v>748</v>
      </c>
      <c r="D79" s="111">
        <f t="shared" si="35"/>
        <v>0</v>
      </c>
      <c r="E79" s="111" t="str">
        <f t="shared" ref="E79:E111" si="48">"Catalogue!"&amp;ADDRESS(ROW(E79),COLUMN(F79))</f>
        <v>Catalogue!$F$79</v>
      </c>
      <c r="F79" s="20"/>
      <c r="G79" s="256">
        <f t="shared" si="36"/>
        <v>9</v>
      </c>
      <c r="H79" s="256">
        <f t="shared" si="31"/>
        <v>0</v>
      </c>
      <c r="I79" s="256">
        <v>0</v>
      </c>
      <c r="J79" s="257">
        <f t="shared" si="37"/>
        <v>0</v>
      </c>
      <c r="K79" s="257">
        <f t="shared" si="32"/>
        <v>0</v>
      </c>
      <c r="L79" s="252">
        <f t="shared" si="34"/>
        <v>0</v>
      </c>
      <c r="M79" s="256">
        <v>0</v>
      </c>
      <c r="N79" s="257">
        <f t="shared" si="38"/>
        <v>0</v>
      </c>
      <c r="O79" s="118">
        <f t="shared" si="33"/>
        <v>0</v>
      </c>
    </row>
    <row r="80" spans="1:15" ht="159.94999999999999" customHeight="1">
      <c r="A80" s="84"/>
      <c r="B80" s="101"/>
      <c r="C80" s="111" t="s">
        <v>748</v>
      </c>
      <c r="D80" s="111">
        <f t="shared" ref="D80" si="49">N80</f>
        <v>0</v>
      </c>
      <c r="E80" s="111" t="str">
        <f t="shared" ref="E80" si="50">"Catalogue!"&amp;ADDRESS(ROW(E80),COLUMN(F80))</f>
        <v>Catalogue!$F$80</v>
      </c>
      <c r="F80" s="20"/>
      <c r="G80" s="256">
        <f t="shared" si="36"/>
        <v>10</v>
      </c>
      <c r="H80" s="256">
        <f t="shared" si="31"/>
        <v>0</v>
      </c>
      <c r="I80" s="256">
        <v>0</v>
      </c>
      <c r="J80" s="257">
        <f t="shared" ref="J80" si="51">IF(H80=1,IF(I80=1,G80,0),0)</f>
        <v>0</v>
      </c>
      <c r="K80" s="257">
        <f t="shared" si="32"/>
        <v>0</v>
      </c>
      <c r="L80" s="252">
        <f t="shared" si="34"/>
        <v>0</v>
      </c>
      <c r="M80" s="256">
        <v>4</v>
      </c>
      <c r="N80" s="257">
        <f t="shared" ref="N80" si="52">IF(L80=M80,K80+J80,0)</f>
        <v>0</v>
      </c>
      <c r="O80" s="118">
        <f t="shared" si="33"/>
        <v>0</v>
      </c>
    </row>
    <row r="81" spans="1:15" ht="159.94999999999999" customHeight="1">
      <c r="A81" s="84"/>
      <c r="B81" s="101"/>
      <c r="C81" s="111" t="s">
        <v>748</v>
      </c>
      <c r="D81" s="111">
        <f t="shared" si="35"/>
        <v>0</v>
      </c>
      <c r="E81" s="111" t="str">
        <f t="shared" ref="E81" si="53">"Catalogue!"&amp;ADDRESS(ROW(E81),COLUMN(F81))</f>
        <v>Catalogue!$F$81</v>
      </c>
      <c r="F81" s="20"/>
      <c r="G81" s="256">
        <f t="shared" si="36"/>
        <v>11</v>
      </c>
      <c r="H81" s="256">
        <f t="shared" si="31"/>
        <v>0</v>
      </c>
      <c r="I81" s="256">
        <v>1</v>
      </c>
      <c r="J81" s="257">
        <f t="shared" si="37"/>
        <v>0</v>
      </c>
      <c r="K81" s="257">
        <f t="shared" si="32"/>
        <v>0</v>
      </c>
      <c r="L81" s="252">
        <f t="shared" si="34"/>
        <v>0</v>
      </c>
      <c r="M81" s="256">
        <v>0</v>
      </c>
      <c r="N81" s="257">
        <f t="shared" si="38"/>
        <v>0</v>
      </c>
      <c r="O81" s="118">
        <f t="shared" si="33"/>
        <v>0</v>
      </c>
    </row>
    <row r="82" spans="1:15" ht="159.94999999999999" customHeight="1">
      <c r="A82" s="84" t="s">
        <v>501</v>
      </c>
      <c r="B82" s="115" t="str">
        <f>'Définition PERGOSOLAR'!G34</f>
        <v>Yes</v>
      </c>
      <c r="C82" s="111" t="s">
        <v>748</v>
      </c>
      <c r="D82" s="111">
        <f t="shared" si="35"/>
        <v>0</v>
      </c>
      <c r="E82" s="111" t="str">
        <f t="shared" ref="E82" si="54">"Catalogue!"&amp;ADDRESS(ROW(E82),COLUMN(F82))</f>
        <v>Catalogue!$F$82</v>
      </c>
      <c r="F82" s="20"/>
      <c r="G82" s="256">
        <f t="shared" si="36"/>
        <v>12</v>
      </c>
      <c r="H82" s="256">
        <f t="shared" si="31"/>
        <v>0</v>
      </c>
      <c r="I82" s="256">
        <v>1</v>
      </c>
      <c r="J82" s="257">
        <f t="shared" si="37"/>
        <v>0</v>
      </c>
      <c r="K82" s="257">
        <f t="shared" si="32"/>
        <v>0</v>
      </c>
      <c r="L82" s="252">
        <f t="shared" si="34"/>
        <v>0</v>
      </c>
      <c r="M82" s="256">
        <v>4</v>
      </c>
      <c r="N82" s="257">
        <f t="shared" si="38"/>
        <v>0</v>
      </c>
      <c r="O82" s="118">
        <f t="shared" si="33"/>
        <v>0</v>
      </c>
    </row>
    <row r="83" spans="1:15" ht="159.94999999999999" customHeight="1">
      <c r="C83" s="112" t="s">
        <v>747</v>
      </c>
      <c r="D83" s="112">
        <f t="shared" si="35"/>
        <v>0</v>
      </c>
      <c r="E83" s="112" t="str">
        <f t="shared" ref="E83" si="55">"Catalogue!"&amp;ADDRESS(ROW(E83),COLUMN(F83))</f>
        <v>Catalogue!$F$83</v>
      </c>
      <c r="F83" s="306"/>
      <c r="G83" s="256">
        <f t="shared" si="36"/>
        <v>13</v>
      </c>
      <c r="H83" s="258">
        <f t="shared" si="31"/>
        <v>0</v>
      </c>
      <c r="I83" s="258">
        <v>0</v>
      </c>
      <c r="J83" s="259">
        <f t="shared" si="37"/>
        <v>0</v>
      </c>
      <c r="K83" s="259">
        <f t="shared" si="32"/>
        <v>0</v>
      </c>
      <c r="L83" s="252">
        <f t="shared" si="34"/>
        <v>0</v>
      </c>
      <c r="M83" s="258">
        <v>0</v>
      </c>
      <c r="N83" s="259">
        <f t="shared" si="38"/>
        <v>0</v>
      </c>
      <c r="O83" s="118">
        <f t="shared" si="33"/>
        <v>0</v>
      </c>
    </row>
    <row r="84" spans="1:15" ht="159.94999999999999" customHeight="1">
      <c r="C84" s="112" t="s">
        <v>747</v>
      </c>
      <c r="D84" s="112">
        <f t="shared" si="35"/>
        <v>0</v>
      </c>
      <c r="E84" s="112" t="str">
        <f t="shared" ref="E84" si="56">"Catalogue!"&amp;ADDRESS(ROW(E84),COLUMN(F84))</f>
        <v>Catalogue!$F$84</v>
      </c>
      <c r="F84" s="306"/>
      <c r="G84" s="256">
        <f t="shared" si="36"/>
        <v>14</v>
      </c>
      <c r="H84" s="258">
        <f t="shared" si="31"/>
        <v>0</v>
      </c>
      <c r="I84" s="258">
        <v>0</v>
      </c>
      <c r="J84" s="259">
        <f t="shared" si="37"/>
        <v>0</v>
      </c>
      <c r="K84" s="259">
        <f t="shared" si="32"/>
        <v>0</v>
      </c>
      <c r="L84" s="252">
        <f t="shared" si="34"/>
        <v>0</v>
      </c>
      <c r="M84" s="258">
        <v>4</v>
      </c>
      <c r="N84" s="259">
        <f t="shared" si="38"/>
        <v>0</v>
      </c>
      <c r="O84" s="118">
        <f t="shared" si="33"/>
        <v>0</v>
      </c>
    </row>
    <row r="85" spans="1:15" ht="159.94999999999999" customHeight="1">
      <c r="C85" s="112" t="s">
        <v>747</v>
      </c>
      <c r="D85" s="112">
        <f t="shared" si="35"/>
        <v>0</v>
      </c>
      <c r="E85" s="112" t="str">
        <f t="shared" si="48"/>
        <v>Catalogue!$F$85</v>
      </c>
      <c r="F85" s="306"/>
      <c r="G85" s="256">
        <f t="shared" si="36"/>
        <v>15</v>
      </c>
      <c r="H85" s="258">
        <f t="shared" si="31"/>
        <v>0</v>
      </c>
      <c r="I85" s="258">
        <v>1</v>
      </c>
      <c r="J85" s="259">
        <f t="shared" si="37"/>
        <v>0</v>
      </c>
      <c r="K85" s="259">
        <f t="shared" si="32"/>
        <v>0</v>
      </c>
      <c r="L85" s="252">
        <f t="shared" si="34"/>
        <v>0</v>
      </c>
      <c r="M85" s="258">
        <v>0</v>
      </c>
      <c r="N85" s="259">
        <f t="shared" si="38"/>
        <v>0</v>
      </c>
      <c r="O85" s="118">
        <f t="shared" si="33"/>
        <v>0</v>
      </c>
    </row>
    <row r="86" spans="1:15" ht="159.94999999999999" customHeight="1">
      <c r="C86" s="460" t="s">
        <v>747</v>
      </c>
      <c r="D86" s="460">
        <f t="shared" si="35"/>
        <v>0</v>
      </c>
      <c r="E86" s="460" t="str">
        <f t="shared" ref="E86" si="57">"Catalogue!"&amp;ADDRESS(ROW(E86),COLUMN(F86))</f>
        <v>Catalogue!$F$86</v>
      </c>
      <c r="F86" s="461"/>
      <c r="G86" s="462">
        <f t="shared" si="36"/>
        <v>16</v>
      </c>
      <c r="H86" s="463">
        <f t="shared" si="31"/>
        <v>0</v>
      </c>
      <c r="I86" s="463">
        <v>1</v>
      </c>
      <c r="J86" s="464">
        <f t="shared" si="37"/>
        <v>0</v>
      </c>
      <c r="K86" s="464">
        <f t="shared" si="32"/>
        <v>0</v>
      </c>
      <c r="L86" s="465">
        <f t="shared" si="34"/>
        <v>0</v>
      </c>
      <c r="M86" s="463">
        <v>4</v>
      </c>
      <c r="N86" s="464">
        <f t="shared" si="38"/>
        <v>0</v>
      </c>
      <c r="O86" s="466">
        <f t="shared" si="33"/>
        <v>0</v>
      </c>
    </row>
    <row r="87" spans="1:15" s="408" customFormat="1" ht="159.94999999999999" customHeight="1">
      <c r="C87" s="471" t="s">
        <v>1005</v>
      </c>
      <c r="D87" s="460">
        <f t="shared" ref="D87:D88" si="58">N87</f>
        <v>0</v>
      </c>
      <c r="E87" s="460" t="str">
        <f t="shared" ref="E87:E88" si="59">"Catalogue!"&amp;ADDRESS(ROW(E87),COLUMN(F87))</f>
        <v>Catalogue!$F$87</v>
      </c>
      <c r="F87" s="409"/>
      <c r="G87" s="256">
        <f>G135+1</f>
        <v>54</v>
      </c>
      <c r="H87" s="472">
        <f t="shared" si="31"/>
        <v>0</v>
      </c>
      <c r="I87" s="472">
        <v>0</v>
      </c>
      <c r="J87" s="473">
        <f t="shared" si="37"/>
        <v>0</v>
      </c>
      <c r="K87" s="473">
        <f t="shared" si="32"/>
        <v>0</v>
      </c>
      <c r="L87" s="252">
        <f t="shared" si="34"/>
        <v>0</v>
      </c>
      <c r="M87" s="472">
        <v>0</v>
      </c>
      <c r="N87" s="473">
        <f t="shared" si="38"/>
        <v>0</v>
      </c>
      <c r="O87" s="118">
        <f t="shared" si="33"/>
        <v>0</v>
      </c>
    </row>
    <row r="88" spans="1:15" s="408" customFormat="1" ht="159.94999999999999" customHeight="1">
      <c r="C88" s="471" t="s">
        <v>1005</v>
      </c>
      <c r="D88" s="460">
        <f t="shared" si="58"/>
        <v>0</v>
      </c>
      <c r="E88" s="460" t="str">
        <f t="shared" si="59"/>
        <v>Catalogue!$F$88</v>
      </c>
      <c r="F88" s="409"/>
      <c r="G88" s="256">
        <f>G87+1</f>
        <v>55</v>
      </c>
      <c r="H88" s="472">
        <f t="shared" si="31"/>
        <v>0</v>
      </c>
      <c r="I88" s="472">
        <v>0</v>
      </c>
      <c r="J88" s="473">
        <f t="shared" si="37"/>
        <v>0</v>
      </c>
      <c r="K88" s="473">
        <f t="shared" si="32"/>
        <v>0</v>
      </c>
      <c r="L88" s="252">
        <f t="shared" si="34"/>
        <v>0</v>
      </c>
      <c r="M88" s="472">
        <v>4</v>
      </c>
      <c r="N88" s="473">
        <f t="shared" si="38"/>
        <v>0</v>
      </c>
      <c r="O88" s="118">
        <f t="shared" si="33"/>
        <v>0</v>
      </c>
    </row>
    <row r="89" spans="1:15" s="408" customFormat="1" ht="159.94999999999999" customHeight="1">
      <c r="C89" s="474" t="s">
        <v>1005</v>
      </c>
      <c r="D89" s="460">
        <f t="shared" ref="D89:D98" si="60">N89</f>
        <v>0</v>
      </c>
      <c r="E89" s="460" t="str">
        <f t="shared" ref="E89:E98" si="61">"Catalogue!"&amp;ADDRESS(ROW(E89),COLUMN(F89))</f>
        <v>Catalogue!$F$89</v>
      </c>
      <c r="F89" s="409"/>
      <c r="G89" s="256">
        <f t="shared" ref="G89:G97" si="62">G88+1</f>
        <v>56</v>
      </c>
      <c r="H89" s="472">
        <f t="shared" si="31"/>
        <v>0</v>
      </c>
      <c r="I89" s="472">
        <v>0</v>
      </c>
      <c r="J89" s="473">
        <f t="shared" si="37"/>
        <v>0</v>
      </c>
      <c r="K89" s="473">
        <f t="shared" si="32"/>
        <v>0</v>
      </c>
      <c r="L89" s="252">
        <f t="shared" si="34"/>
        <v>0</v>
      </c>
      <c r="M89" s="472">
        <v>6</v>
      </c>
      <c r="N89" s="473">
        <f t="shared" si="38"/>
        <v>0</v>
      </c>
      <c r="O89" s="118">
        <f t="shared" si="33"/>
        <v>0</v>
      </c>
    </row>
    <row r="90" spans="1:15" s="408" customFormat="1" ht="159.94999999999999" customHeight="1">
      <c r="C90" s="471" t="s">
        <v>1005</v>
      </c>
      <c r="D90" s="460">
        <f t="shared" si="60"/>
        <v>0</v>
      </c>
      <c r="E90" s="460" t="str">
        <f t="shared" si="61"/>
        <v>Catalogue!$F$90</v>
      </c>
      <c r="F90" s="409"/>
      <c r="G90" s="256">
        <f t="shared" si="62"/>
        <v>57</v>
      </c>
      <c r="H90" s="472">
        <f t="shared" si="31"/>
        <v>0</v>
      </c>
      <c r="I90" s="472">
        <v>1</v>
      </c>
      <c r="J90" s="473">
        <f t="shared" si="37"/>
        <v>0</v>
      </c>
      <c r="K90" s="473">
        <f t="shared" si="32"/>
        <v>0</v>
      </c>
      <c r="L90" s="252">
        <f t="shared" si="34"/>
        <v>0</v>
      </c>
      <c r="M90" s="472">
        <v>0</v>
      </c>
      <c r="N90" s="473">
        <f t="shared" si="38"/>
        <v>0</v>
      </c>
      <c r="O90" s="118">
        <f t="shared" si="33"/>
        <v>0</v>
      </c>
    </row>
    <row r="91" spans="1:15" s="408" customFormat="1" ht="159.94999999999999" customHeight="1">
      <c r="C91" s="471" t="s">
        <v>1005</v>
      </c>
      <c r="D91" s="460">
        <f t="shared" si="60"/>
        <v>0</v>
      </c>
      <c r="E91" s="460" t="str">
        <f t="shared" si="61"/>
        <v>Catalogue!$F$91</v>
      </c>
      <c r="F91" s="409"/>
      <c r="G91" s="256">
        <f t="shared" si="62"/>
        <v>58</v>
      </c>
      <c r="H91" s="472">
        <f t="shared" si="31"/>
        <v>0</v>
      </c>
      <c r="I91" s="472">
        <v>1</v>
      </c>
      <c r="J91" s="473">
        <f t="shared" si="37"/>
        <v>0</v>
      </c>
      <c r="K91" s="473">
        <f t="shared" si="32"/>
        <v>0</v>
      </c>
      <c r="L91" s="252">
        <f t="shared" si="34"/>
        <v>0</v>
      </c>
      <c r="M91" s="472">
        <v>4</v>
      </c>
      <c r="N91" s="473">
        <f t="shared" si="38"/>
        <v>0</v>
      </c>
      <c r="O91" s="118">
        <f t="shared" si="33"/>
        <v>0</v>
      </c>
    </row>
    <row r="92" spans="1:15" s="408" customFormat="1" ht="159.94999999999999" customHeight="1">
      <c r="C92" s="474" t="s">
        <v>1005</v>
      </c>
      <c r="D92" s="460">
        <f t="shared" si="60"/>
        <v>0</v>
      </c>
      <c r="E92" s="460" t="str">
        <f t="shared" si="61"/>
        <v>Catalogue!$F$92</v>
      </c>
      <c r="F92" s="409"/>
      <c r="G92" s="256">
        <f t="shared" si="62"/>
        <v>59</v>
      </c>
      <c r="H92" s="472">
        <f t="shared" si="31"/>
        <v>0</v>
      </c>
      <c r="I92" s="472">
        <v>1</v>
      </c>
      <c r="J92" s="473">
        <f t="shared" si="37"/>
        <v>0</v>
      </c>
      <c r="K92" s="473">
        <f t="shared" si="32"/>
        <v>0</v>
      </c>
      <c r="L92" s="252">
        <f t="shared" si="34"/>
        <v>0</v>
      </c>
      <c r="M92" s="472">
        <v>6</v>
      </c>
      <c r="N92" s="473">
        <f t="shared" si="38"/>
        <v>0</v>
      </c>
      <c r="O92" s="118">
        <f t="shared" si="33"/>
        <v>0</v>
      </c>
    </row>
    <row r="93" spans="1:15" s="408" customFormat="1" ht="159.94999999999999" customHeight="1">
      <c r="C93" s="471" t="s">
        <v>1006</v>
      </c>
      <c r="D93" s="460">
        <f t="shared" si="60"/>
        <v>0</v>
      </c>
      <c r="E93" s="460" t="str">
        <f t="shared" si="61"/>
        <v>Catalogue!$F$93</v>
      </c>
      <c r="F93" s="409"/>
      <c r="G93" s="256">
        <f t="shared" si="62"/>
        <v>60</v>
      </c>
      <c r="H93" s="472">
        <f t="shared" si="31"/>
        <v>0</v>
      </c>
      <c r="I93" s="472">
        <v>0</v>
      </c>
      <c r="J93" s="473">
        <f t="shared" si="37"/>
        <v>0</v>
      </c>
      <c r="K93" s="473">
        <f t="shared" si="32"/>
        <v>0</v>
      </c>
      <c r="L93" s="252">
        <f t="shared" si="34"/>
        <v>0</v>
      </c>
      <c r="M93" s="472">
        <v>0</v>
      </c>
      <c r="N93" s="473">
        <f t="shared" si="38"/>
        <v>0</v>
      </c>
      <c r="O93" s="118">
        <f t="shared" si="33"/>
        <v>0</v>
      </c>
    </row>
    <row r="94" spans="1:15" s="408" customFormat="1" ht="159.94999999999999" customHeight="1">
      <c r="C94" s="471" t="s">
        <v>1006</v>
      </c>
      <c r="D94" s="460">
        <f t="shared" si="60"/>
        <v>0</v>
      </c>
      <c r="E94" s="460" t="str">
        <f t="shared" si="61"/>
        <v>Catalogue!$F$94</v>
      </c>
      <c r="F94" s="409"/>
      <c r="G94" s="256">
        <f t="shared" si="62"/>
        <v>61</v>
      </c>
      <c r="H94" s="472">
        <f t="shared" si="31"/>
        <v>0</v>
      </c>
      <c r="I94" s="472">
        <v>0</v>
      </c>
      <c r="J94" s="473">
        <f t="shared" si="37"/>
        <v>0</v>
      </c>
      <c r="K94" s="473">
        <f t="shared" si="32"/>
        <v>0</v>
      </c>
      <c r="L94" s="252">
        <f t="shared" si="34"/>
        <v>0</v>
      </c>
      <c r="M94" s="472">
        <v>4</v>
      </c>
      <c r="N94" s="473">
        <f t="shared" si="38"/>
        <v>0</v>
      </c>
      <c r="O94" s="118">
        <f t="shared" si="33"/>
        <v>0</v>
      </c>
    </row>
    <row r="95" spans="1:15" s="408" customFormat="1" ht="159.94999999999999" customHeight="1">
      <c r="C95" s="471" t="s">
        <v>1006</v>
      </c>
      <c r="D95" s="460">
        <f t="shared" si="60"/>
        <v>0</v>
      </c>
      <c r="E95" s="460" t="str">
        <f t="shared" si="61"/>
        <v>Catalogue!$F$95</v>
      </c>
      <c r="F95" s="409"/>
      <c r="G95" s="256">
        <f t="shared" si="62"/>
        <v>62</v>
      </c>
      <c r="H95" s="472">
        <f t="shared" si="31"/>
        <v>0</v>
      </c>
      <c r="I95" s="472">
        <v>0</v>
      </c>
      <c r="J95" s="473">
        <f t="shared" si="37"/>
        <v>0</v>
      </c>
      <c r="K95" s="473">
        <f t="shared" si="32"/>
        <v>0</v>
      </c>
      <c r="L95" s="252">
        <f t="shared" si="34"/>
        <v>0</v>
      </c>
      <c r="M95" s="472">
        <v>6</v>
      </c>
      <c r="N95" s="473">
        <f t="shared" si="38"/>
        <v>0</v>
      </c>
      <c r="O95" s="118">
        <f t="shared" si="33"/>
        <v>0</v>
      </c>
    </row>
    <row r="96" spans="1:15" s="408" customFormat="1" ht="159.94999999999999" customHeight="1">
      <c r="C96" s="471" t="s">
        <v>1006</v>
      </c>
      <c r="D96" s="460">
        <f t="shared" si="60"/>
        <v>0</v>
      </c>
      <c r="E96" s="460" t="str">
        <f t="shared" si="61"/>
        <v>Catalogue!$F$96</v>
      </c>
      <c r="F96" s="409"/>
      <c r="G96" s="256">
        <f t="shared" si="62"/>
        <v>63</v>
      </c>
      <c r="H96" s="472">
        <f t="shared" si="31"/>
        <v>0</v>
      </c>
      <c r="I96" s="472">
        <v>1</v>
      </c>
      <c r="J96" s="473">
        <f t="shared" si="37"/>
        <v>0</v>
      </c>
      <c r="K96" s="473">
        <f t="shared" si="32"/>
        <v>0</v>
      </c>
      <c r="L96" s="252">
        <f t="shared" si="34"/>
        <v>0</v>
      </c>
      <c r="M96" s="472">
        <v>0</v>
      </c>
      <c r="N96" s="473">
        <f t="shared" si="38"/>
        <v>0</v>
      </c>
      <c r="O96" s="118">
        <f t="shared" si="33"/>
        <v>0</v>
      </c>
    </row>
    <row r="97" spans="3:15" s="408" customFormat="1" ht="159.94999999999999" customHeight="1">
      <c r="C97" s="471" t="s">
        <v>1006</v>
      </c>
      <c r="D97" s="460">
        <f t="shared" si="60"/>
        <v>0</v>
      </c>
      <c r="E97" s="460" t="str">
        <f t="shared" si="61"/>
        <v>Catalogue!$F$97</v>
      </c>
      <c r="F97" s="409"/>
      <c r="G97" s="256">
        <f t="shared" si="62"/>
        <v>64</v>
      </c>
      <c r="H97" s="472">
        <f t="shared" si="31"/>
        <v>0</v>
      </c>
      <c r="I97" s="472">
        <v>1</v>
      </c>
      <c r="J97" s="473">
        <f t="shared" si="37"/>
        <v>0</v>
      </c>
      <c r="K97" s="473">
        <f t="shared" si="32"/>
        <v>0</v>
      </c>
      <c r="L97" s="252">
        <f t="shared" si="34"/>
        <v>0</v>
      </c>
      <c r="M97" s="472">
        <v>4</v>
      </c>
      <c r="N97" s="473">
        <f t="shared" si="38"/>
        <v>0</v>
      </c>
      <c r="O97" s="118">
        <f t="shared" si="33"/>
        <v>0</v>
      </c>
    </row>
    <row r="98" spans="3:15" s="408" customFormat="1" ht="159.94999999999999" customHeight="1">
      <c r="C98" s="471" t="s">
        <v>1006</v>
      </c>
      <c r="D98" s="460">
        <f t="shared" si="60"/>
        <v>0</v>
      </c>
      <c r="E98" s="460" t="str">
        <f t="shared" si="61"/>
        <v>Catalogue!$F$98</v>
      </c>
      <c r="F98" s="409"/>
      <c r="G98" s="256">
        <f>G97+2</f>
        <v>66</v>
      </c>
      <c r="H98" s="472">
        <f t="shared" si="31"/>
        <v>0</v>
      </c>
      <c r="I98" s="472">
        <v>1</v>
      </c>
      <c r="J98" s="473">
        <f t="shared" si="37"/>
        <v>0</v>
      </c>
      <c r="K98" s="473">
        <f t="shared" si="32"/>
        <v>0</v>
      </c>
      <c r="L98" s="252">
        <f t="shared" si="34"/>
        <v>0</v>
      </c>
      <c r="M98" s="472">
        <v>6</v>
      </c>
      <c r="N98" s="473">
        <f t="shared" si="38"/>
        <v>0</v>
      </c>
      <c r="O98" s="118">
        <f t="shared" si="33"/>
        <v>0</v>
      </c>
    </row>
    <row r="99" spans="3:15" ht="159.94999999999999" customHeight="1">
      <c r="C99" s="113" t="s">
        <v>749</v>
      </c>
      <c r="D99" s="113">
        <f t="shared" si="35"/>
        <v>0</v>
      </c>
      <c r="E99" s="113" t="str">
        <f t="shared" si="48"/>
        <v>Catalogue!$F$99</v>
      </c>
      <c r="F99" s="467"/>
      <c r="G99" s="468">
        <f>G86+1</f>
        <v>17</v>
      </c>
      <c r="H99" s="260">
        <f t="shared" si="31"/>
        <v>0</v>
      </c>
      <c r="I99" s="260">
        <v>0</v>
      </c>
      <c r="J99" s="261">
        <f t="shared" si="37"/>
        <v>0</v>
      </c>
      <c r="K99" s="261">
        <f t="shared" si="32"/>
        <v>0</v>
      </c>
      <c r="L99" s="469">
        <f t="shared" si="34"/>
        <v>0</v>
      </c>
      <c r="M99" s="260">
        <v>0</v>
      </c>
      <c r="N99" s="261">
        <f t="shared" si="38"/>
        <v>0</v>
      </c>
      <c r="O99" s="470">
        <f t="shared" si="33"/>
        <v>0</v>
      </c>
    </row>
    <row r="100" spans="3:15" ht="159.94999999999999" customHeight="1">
      <c r="C100" s="113" t="s">
        <v>749</v>
      </c>
      <c r="D100" s="113">
        <f t="shared" ref="D100:D104" si="63">N100</f>
        <v>0</v>
      </c>
      <c r="E100" s="113" t="str">
        <f t="shared" ref="E100:E104" si="64">"Catalogue!"&amp;ADDRESS(ROW(E100),COLUMN(F100))</f>
        <v>Catalogue!$F$100</v>
      </c>
      <c r="F100" s="306"/>
      <c r="G100" s="256">
        <f t="shared" si="36"/>
        <v>18</v>
      </c>
      <c r="H100" s="260">
        <f t="shared" si="31"/>
        <v>0</v>
      </c>
      <c r="I100" s="260">
        <v>0</v>
      </c>
      <c r="J100" s="261">
        <f t="shared" si="37"/>
        <v>0</v>
      </c>
      <c r="K100" s="261">
        <f t="shared" si="32"/>
        <v>0</v>
      </c>
      <c r="L100" s="252">
        <f t="shared" si="34"/>
        <v>0</v>
      </c>
      <c r="M100" s="260">
        <v>4</v>
      </c>
      <c r="N100" s="261">
        <f t="shared" ref="N100:N104" si="65">IF(L100=M100,K100+J100,0)</f>
        <v>0</v>
      </c>
      <c r="O100" s="118">
        <f t="shared" si="33"/>
        <v>0</v>
      </c>
    </row>
    <row r="101" spans="3:15" ht="159.94999999999999" customHeight="1">
      <c r="C101" s="113" t="s">
        <v>749</v>
      </c>
      <c r="D101" s="113">
        <f t="shared" si="63"/>
        <v>0</v>
      </c>
      <c r="E101" s="113" t="str">
        <f t="shared" si="64"/>
        <v>Catalogue!$F$101</v>
      </c>
      <c r="F101" s="306"/>
      <c r="G101" s="256">
        <f t="shared" si="36"/>
        <v>19</v>
      </c>
      <c r="H101" s="260">
        <f t="shared" si="31"/>
        <v>0</v>
      </c>
      <c r="I101" s="260">
        <v>0</v>
      </c>
      <c r="J101" s="261">
        <f t="shared" si="37"/>
        <v>0</v>
      </c>
      <c r="K101" s="261">
        <f t="shared" si="32"/>
        <v>0</v>
      </c>
      <c r="L101" s="252">
        <f t="shared" si="34"/>
        <v>0</v>
      </c>
      <c r="M101" s="260">
        <v>8</v>
      </c>
      <c r="N101" s="261">
        <f t="shared" si="65"/>
        <v>0</v>
      </c>
      <c r="O101" s="118">
        <f t="shared" si="33"/>
        <v>0</v>
      </c>
    </row>
    <row r="102" spans="3:15" ht="159.94999999999999" customHeight="1">
      <c r="C102" s="113" t="s">
        <v>749</v>
      </c>
      <c r="D102" s="113">
        <f t="shared" si="63"/>
        <v>0</v>
      </c>
      <c r="E102" s="113" t="str">
        <f t="shared" si="64"/>
        <v>Catalogue!$F$102</v>
      </c>
      <c r="F102" s="306"/>
      <c r="G102" s="256">
        <f t="shared" si="36"/>
        <v>20</v>
      </c>
      <c r="H102" s="260">
        <f t="shared" si="31"/>
        <v>0</v>
      </c>
      <c r="I102" s="260">
        <v>1</v>
      </c>
      <c r="J102" s="261">
        <f t="shared" si="37"/>
        <v>0</v>
      </c>
      <c r="K102" s="261">
        <f t="shared" si="32"/>
        <v>0</v>
      </c>
      <c r="L102" s="252">
        <f t="shared" si="34"/>
        <v>0</v>
      </c>
      <c r="M102" s="260"/>
      <c r="N102" s="261">
        <f t="shared" si="65"/>
        <v>0</v>
      </c>
      <c r="O102" s="118">
        <f t="shared" si="33"/>
        <v>0</v>
      </c>
    </row>
    <row r="103" spans="3:15" ht="159.94999999999999" customHeight="1">
      <c r="C103" s="113" t="s">
        <v>749</v>
      </c>
      <c r="D103" s="113">
        <f t="shared" si="63"/>
        <v>0</v>
      </c>
      <c r="E103" s="113" t="str">
        <f t="shared" si="64"/>
        <v>Catalogue!$F$103</v>
      </c>
      <c r="F103" s="306"/>
      <c r="G103" s="256">
        <f t="shared" si="36"/>
        <v>21</v>
      </c>
      <c r="H103" s="260">
        <f t="shared" si="31"/>
        <v>0</v>
      </c>
      <c r="I103" s="260">
        <v>1</v>
      </c>
      <c r="J103" s="261">
        <f t="shared" si="37"/>
        <v>0</v>
      </c>
      <c r="K103" s="261">
        <f t="shared" si="32"/>
        <v>0</v>
      </c>
      <c r="L103" s="252">
        <f t="shared" si="34"/>
        <v>0</v>
      </c>
      <c r="M103" s="260">
        <v>4</v>
      </c>
      <c r="N103" s="261">
        <f t="shared" si="65"/>
        <v>0</v>
      </c>
      <c r="O103" s="118">
        <f t="shared" si="33"/>
        <v>0</v>
      </c>
    </row>
    <row r="104" spans="3:15" ht="159.94999999999999" customHeight="1">
      <c r="C104" s="113" t="s">
        <v>749</v>
      </c>
      <c r="D104" s="113">
        <f t="shared" si="63"/>
        <v>0</v>
      </c>
      <c r="E104" s="113" t="str">
        <f t="shared" si="64"/>
        <v>Catalogue!$F$104</v>
      </c>
      <c r="F104" s="306"/>
      <c r="G104" s="256">
        <f t="shared" si="36"/>
        <v>22</v>
      </c>
      <c r="H104" s="260">
        <f t="shared" si="31"/>
        <v>0</v>
      </c>
      <c r="I104" s="260">
        <v>1</v>
      </c>
      <c r="J104" s="261">
        <f t="shared" si="37"/>
        <v>0</v>
      </c>
      <c r="K104" s="261">
        <f t="shared" si="32"/>
        <v>0</v>
      </c>
      <c r="L104" s="252">
        <f t="shared" si="34"/>
        <v>0</v>
      </c>
      <c r="M104" s="260">
        <v>8</v>
      </c>
      <c r="N104" s="261">
        <f t="shared" si="65"/>
        <v>0</v>
      </c>
      <c r="O104" s="118">
        <f t="shared" si="33"/>
        <v>0</v>
      </c>
    </row>
    <row r="105" spans="3:15" ht="159.94999999999999" customHeight="1">
      <c r="C105" s="110" t="s">
        <v>750</v>
      </c>
      <c r="D105" s="110">
        <f t="shared" si="35"/>
        <v>0</v>
      </c>
      <c r="E105" s="110" t="str">
        <f t="shared" si="48"/>
        <v>Catalogue!$F$105</v>
      </c>
      <c r="F105" s="306"/>
      <c r="G105" s="256">
        <f t="shared" si="36"/>
        <v>23</v>
      </c>
      <c r="H105" s="262">
        <f t="shared" si="31"/>
        <v>1</v>
      </c>
      <c r="I105" s="262">
        <v>0</v>
      </c>
      <c r="J105" s="263">
        <f t="shared" si="37"/>
        <v>0</v>
      </c>
      <c r="K105" s="263">
        <f t="shared" si="32"/>
        <v>0</v>
      </c>
      <c r="L105" s="252">
        <f t="shared" si="34"/>
        <v>0</v>
      </c>
      <c r="M105" s="262">
        <v>0</v>
      </c>
      <c r="N105" s="263">
        <f t="shared" si="38"/>
        <v>0</v>
      </c>
      <c r="O105" s="118">
        <f t="shared" si="33"/>
        <v>0</v>
      </c>
    </row>
    <row r="106" spans="3:15" ht="159.94999999999999" customHeight="1">
      <c r="C106" s="110" t="s">
        <v>750</v>
      </c>
      <c r="D106" s="110">
        <f t="shared" ref="D106:D110" si="66">N106</f>
        <v>0</v>
      </c>
      <c r="E106" s="110" t="str">
        <f t="shared" ref="E106:E110" si="67">"Catalogue!"&amp;ADDRESS(ROW(E106),COLUMN(F106))</f>
        <v>Catalogue!$F$106</v>
      </c>
      <c r="F106" s="306"/>
      <c r="G106" s="256">
        <f t="shared" si="36"/>
        <v>24</v>
      </c>
      <c r="H106" s="262">
        <f t="shared" si="31"/>
        <v>1</v>
      </c>
      <c r="I106" s="262">
        <v>0</v>
      </c>
      <c r="J106" s="263">
        <f t="shared" ref="J106:J110" si="68">IF(H106=1,IF(I106=1,G106,0),0)</f>
        <v>0</v>
      </c>
      <c r="K106" s="263">
        <f t="shared" si="32"/>
        <v>0</v>
      </c>
      <c r="L106" s="252">
        <f t="shared" si="34"/>
        <v>0</v>
      </c>
      <c r="M106" s="262">
        <v>4</v>
      </c>
      <c r="N106" s="263">
        <f t="shared" ref="N106:N110" si="69">IF(L106=M106,K106+J106,0)</f>
        <v>0</v>
      </c>
      <c r="O106" s="118">
        <f t="shared" si="33"/>
        <v>0</v>
      </c>
    </row>
    <row r="107" spans="3:15" ht="159.94999999999999" customHeight="1">
      <c r="C107" s="110" t="s">
        <v>750</v>
      </c>
      <c r="D107" s="110">
        <f t="shared" si="66"/>
        <v>0</v>
      </c>
      <c r="E107" s="110" t="str">
        <f t="shared" si="67"/>
        <v>Catalogue!$F$107</v>
      </c>
      <c r="F107" s="306"/>
      <c r="G107" s="256">
        <f t="shared" si="36"/>
        <v>25</v>
      </c>
      <c r="H107" s="262">
        <f t="shared" si="31"/>
        <v>1</v>
      </c>
      <c r="I107" s="262">
        <v>0</v>
      </c>
      <c r="J107" s="263">
        <f t="shared" si="68"/>
        <v>0</v>
      </c>
      <c r="K107" s="263">
        <f t="shared" si="32"/>
        <v>0</v>
      </c>
      <c r="L107" s="252">
        <f t="shared" si="34"/>
        <v>0</v>
      </c>
      <c r="M107" s="262">
        <v>8</v>
      </c>
      <c r="N107" s="263">
        <f t="shared" si="69"/>
        <v>0</v>
      </c>
      <c r="O107" s="118">
        <f t="shared" si="33"/>
        <v>0</v>
      </c>
    </row>
    <row r="108" spans="3:15" ht="159.94999999999999" customHeight="1">
      <c r="C108" s="110" t="s">
        <v>750</v>
      </c>
      <c r="D108" s="110">
        <f t="shared" si="66"/>
        <v>26</v>
      </c>
      <c r="E108" s="110" t="str">
        <f t="shared" si="67"/>
        <v>Catalogue!$F$108</v>
      </c>
      <c r="F108" s="306"/>
      <c r="G108" s="256">
        <f t="shared" si="36"/>
        <v>26</v>
      </c>
      <c r="H108" s="262">
        <f t="shared" si="31"/>
        <v>1</v>
      </c>
      <c r="I108" s="262">
        <v>1</v>
      </c>
      <c r="J108" s="263">
        <f t="shared" si="68"/>
        <v>26</v>
      </c>
      <c r="K108" s="263">
        <f t="shared" si="32"/>
        <v>0</v>
      </c>
      <c r="L108" s="252">
        <f t="shared" si="34"/>
        <v>0</v>
      </c>
      <c r="M108" s="262">
        <v>0</v>
      </c>
      <c r="N108" s="263">
        <f t="shared" si="69"/>
        <v>26</v>
      </c>
      <c r="O108" s="118">
        <f t="shared" si="33"/>
        <v>0</v>
      </c>
    </row>
    <row r="109" spans="3:15" ht="159.94999999999999" customHeight="1">
      <c r="C109" s="110" t="s">
        <v>750</v>
      </c>
      <c r="D109" s="110">
        <f t="shared" si="66"/>
        <v>0</v>
      </c>
      <c r="E109" s="110" t="str">
        <f t="shared" si="67"/>
        <v>Catalogue!$F$109</v>
      </c>
      <c r="F109" s="306"/>
      <c r="G109" s="256">
        <f t="shared" si="36"/>
        <v>27</v>
      </c>
      <c r="H109" s="262">
        <f t="shared" si="31"/>
        <v>1</v>
      </c>
      <c r="I109" s="262">
        <v>1</v>
      </c>
      <c r="J109" s="263">
        <f t="shared" si="68"/>
        <v>27</v>
      </c>
      <c r="K109" s="263">
        <f t="shared" si="32"/>
        <v>0</v>
      </c>
      <c r="L109" s="252">
        <f t="shared" si="34"/>
        <v>0</v>
      </c>
      <c r="M109" s="262">
        <v>4</v>
      </c>
      <c r="N109" s="263">
        <f t="shared" si="69"/>
        <v>0</v>
      </c>
      <c r="O109" s="118">
        <f t="shared" si="33"/>
        <v>0</v>
      </c>
    </row>
    <row r="110" spans="3:15" ht="159.94999999999999" customHeight="1">
      <c r="C110" s="110" t="s">
        <v>750</v>
      </c>
      <c r="D110" s="110">
        <f t="shared" si="66"/>
        <v>0</v>
      </c>
      <c r="E110" s="110" t="str">
        <f t="shared" si="67"/>
        <v>Catalogue!$F$110</v>
      </c>
      <c r="F110" s="306"/>
      <c r="G110" s="256">
        <f t="shared" si="36"/>
        <v>28</v>
      </c>
      <c r="H110" s="262">
        <f t="shared" si="31"/>
        <v>1</v>
      </c>
      <c r="I110" s="262">
        <v>1</v>
      </c>
      <c r="J110" s="263">
        <f t="shared" si="68"/>
        <v>28</v>
      </c>
      <c r="K110" s="263">
        <f t="shared" si="32"/>
        <v>0</v>
      </c>
      <c r="L110" s="252">
        <f t="shared" si="34"/>
        <v>0</v>
      </c>
      <c r="M110" s="262">
        <v>8</v>
      </c>
      <c r="N110" s="263">
        <f t="shared" si="69"/>
        <v>0</v>
      </c>
      <c r="O110" s="118">
        <f t="shared" si="33"/>
        <v>0</v>
      </c>
    </row>
    <row r="111" spans="3:15" ht="159.94999999999999" customHeight="1">
      <c r="C111" s="109" t="s">
        <v>752</v>
      </c>
      <c r="D111" s="109">
        <f t="shared" si="35"/>
        <v>0</v>
      </c>
      <c r="E111" s="109" t="str">
        <f t="shared" si="48"/>
        <v>Catalogue!$F$111</v>
      </c>
      <c r="F111" s="20"/>
      <c r="G111" s="256">
        <f t="shared" si="36"/>
        <v>29</v>
      </c>
      <c r="H111" s="254">
        <f t="shared" si="31"/>
        <v>0</v>
      </c>
      <c r="I111" s="254"/>
      <c r="J111" s="255">
        <f t="shared" si="37"/>
        <v>0</v>
      </c>
      <c r="K111" s="255">
        <f t="shared" si="32"/>
        <v>0</v>
      </c>
      <c r="L111" s="252">
        <f t="shared" si="34"/>
        <v>0</v>
      </c>
      <c r="M111" s="254">
        <v>0</v>
      </c>
      <c r="N111" s="255">
        <f t="shared" si="38"/>
        <v>0</v>
      </c>
      <c r="O111" s="118">
        <f t="shared" si="33"/>
        <v>0</v>
      </c>
    </row>
    <row r="112" spans="3:15" ht="159.94999999999999" customHeight="1">
      <c r="C112" s="109" t="s">
        <v>752</v>
      </c>
      <c r="D112" s="109">
        <f t="shared" ref="D112:D115" si="70">N112</f>
        <v>0</v>
      </c>
      <c r="E112" s="109" t="str">
        <f t="shared" ref="E112:E115" si="71">"Catalogue!"&amp;ADDRESS(ROW(E112),COLUMN(F112))</f>
        <v>Catalogue!$F$112</v>
      </c>
      <c r="F112" s="20"/>
      <c r="G112" s="256">
        <f t="shared" si="36"/>
        <v>30</v>
      </c>
      <c r="H112" s="254">
        <f t="shared" si="31"/>
        <v>0</v>
      </c>
      <c r="I112" s="254"/>
      <c r="J112" s="255">
        <f t="shared" ref="J112:J115" si="72">IF(H112=1,IF(I112=1,G112,0),0)</f>
        <v>0</v>
      </c>
      <c r="K112" s="255">
        <f t="shared" si="32"/>
        <v>0</v>
      </c>
      <c r="L112" s="252">
        <f t="shared" si="34"/>
        <v>0</v>
      </c>
      <c r="M112" s="254">
        <v>4</v>
      </c>
      <c r="N112" s="255">
        <f t="shared" ref="N112:N115" si="73">IF(L112=M112,K112+J112,0)</f>
        <v>0</v>
      </c>
      <c r="O112" s="118">
        <f t="shared" si="33"/>
        <v>0</v>
      </c>
    </row>
    <row r="113" spans="3:15" ht="159.94999999999999" customHeight="1">
      <c r="C113" s="109" t="s">
        <v>752</v>
      </c>
      <c r="D113" s="109">
        <f t="shared" si="70"/>
        <v>0</v>
      </c>
      <c r="E113" s="109" t="str">
        <f t="shared" si="71"/>
        <v>Catalogue!$F$113</v>
      </c>
      <c r="F113" s="20"/>
      <c r="G113" s="256">
        <f t="shared" si="36"/>
        <v>31</v>
      </c>
      <c r="H113" s="254">
        <f t="shared" si="31"/>
        <v>0</v>
      </c>
      <c r="I113" s="254"/>
      <c r="J113" s="255">
        <f t="shared" si="72"/>
        <v>0</v>
      </c>
      <c r="K113" s="255">
        <f t="shared" si="32"/>
        <v>0</v>
      </c>
      <c r="L113" s="252">
        <f t="shared" si="34"/>
        <v>0</v>
      </c>
      <c r="M113" s="254">
        <v>6</v>
      </c>
      <c r="N113" s="255">
        <f t="shared" si="73"/>
        <v>0</v>
      </c>
      <c r="O113" s="118">
        <f t="shared" si="33"/>
        <v>0</v>
      </c>
    </row>
    <row r="114" spans="3:15" ht="159.94999999999999" customHeight="1">
      <c r="C114" s="109" t="s">
        <v>752</v>
      </c>
      <c r="D114" s="109">
        <f t="shared" si="70"/>
        <v>0</v>
      </c>
      <c r="E114" s="109" t="str">
        <f t="shared" si="71"/>
        <v>Catalogue!$F$114</v>
      </c>
      <c r="F114" s="20"/>
      <c r="G114" s="256">
        <f t="shared" si="36"/>
        <v>32</v>
      </c>
      <c r="H114" s="254">
        <f t="shared" si="31"/>
        <v>0</v>
      </c>
      <c r="I114" s="254">
        <v>1</v>
      </c>
      <c r="J114" s="255">
        <f t="shared" si="72"/>
        <v>0</v>
      </c>
      <c r="K114" s="255">
        <f t="shared" si="32"/>
        <v>0</v>
      </c>
      <c r="L114" s="252">
        <f t="shared" si="34"/>
        <v>0</v>
      </c>
      <c r="M114" s="254">
        <v>0</v>
      </c>
      <c r="N114" s="255">
        <f t="shared" si="73"/>
        <v>0</v>
      </c>
      <c r="O114" s="118">
        <f t="shared" si="33"/>
        <v>0</v>
      </c>
    </row>
    <row r="115" spans="3:15" ht="159.94999999999999" customHeight="1">
      <c r="C115" s="109" t="s">
        <v>752</v>
      </c>
      <c r="D115" s="109">
        <f t="shared" si="70"/>
        <v>0</v>
      </c>
      <c r="E115" s="109" t="str">
        <f t="shared" si="71"/>
        <v>Catalogue!$F$115</v>
      </c>
      <c r="F115" s="20"/>
      <c r="G115" s="256">
        <f t="shared" si="36"/>
        <v>33</v>
      </c>
      <c r="H115" s="254">
        <f t="shared" ref="H115:H135" si="74">IF($B$71=C115,IF($B$82="Yes",1,0),0)</f>
        <v>0</v>
      </c>
      <c r="I115" s="254">
        <v>1</v>
      </c>
      <c r="J115" s="255">
        <f t="shared" si="72"/>
        <v>0</v>
      </c>
      <c r="K115" s="255">
        <f t="shared" ref="K115:K135" si="75">IF($B$71=C115,IF($B$82="No",IF(I115=0,G115,0),0),0)</f>
        <v>0</v>
      </c>
      <c r="L115" s="252">
        <f t="shared" si="34"/>
        <v>0</v>
      </c>
      <c r="M115" s="254">
        <v>4</v>
      </c>
      <c r="N115" s="255">
        <f t="shared" si="73"/>
        <v>0</v>
      </c>
      <c r="O115" s="118">
        <f t="shared" si="33"/>
        <v>0</v>
      </c>
    </row>
    <row r="116" spans="3:15" ht="159.94999999999999" customHeight="1">
      <c r="C116" s="109" t="s">
        <v>752</v>
      </c>
      <c r="D116" s="109">
        <f t="shared" ref="D116:D121" si="76">N116</f>
        <v>0</v>
      </c>
      <c r="E116" s="109" t="str">
        <f t="shared" ref="E116:E135" si="77">"Catalogue!"&amp;ADDRESS(ROW(E116),COLUMN(F116))</f>
        <v>Catalogue!$F$116</v>
      </c>
      <c r="F116" s="20"/>
      <c r="G116" s="256">
        <f t="shared" si="36"/>
        <v>34</v>
      </c>
      <c r="H116" s="254">
        <f t="shared" si="74"/>
        <v>0</v>
      </c>
      <c r="I116" s="254">
        <v>1</v>
      </c>
      <c r="J116" s="255">
        <f t="shared" ref="J116:J135" si="78">IF(H116=1,IF(I116=1,G116,0),0)</f>
        <v>0</v>
      </c>
      <c r="K116" s="255">
        <f t="shared" si="75"/>
        <v>0</v>
      </c>
      <c r="L116" s="252">
        <f t="shared" si="34"/>
        <v>0</v>
      </c>
      <c r="M116" s="254">
        <v>6</v>
      </c>
      <c r="N116" s="255">
        <f t="shared" ref="N116:N121" si="79">IF(L116=M116,K116+J116,0)</f>
        <v>0</v>
      </c>
      <c r="O116" s="118">
        <f t="shared" si="33"/>
        <v>0</v>
      </c>
    </row>
    <row r="117" spans="3:15" ht="159.94999999999999" customHeight="1">
      <c r="C117" s="107" t="s">
        <v>751</v>
      </c>
      <c r="D117" s="107">
        <f t="shared" si="76"/>
        <v>0</v>
      </c>
      <c r="E117" s="107" t="str">
        <f t="shared" si="77"/>
        <v>Catalogue!$F$117</v>
      </c>
      <c r="F117" s="20"/>
      <c r="G117" s="256">
        <f t="shared" si="36"/>
        <v>35</v>
      </c>
      <c r="H117" s="252">
        <f t="shared" si="74"/>
        <v>0</v>
      </c>
      <c r="I117" s="252"/>
      <c r="J117" s="253">
        <f t="shared" si="78"/>
        <v>0</v>
      </c>
      <c r="K117" s="253">
        <f t="shared" si="75"/>
        <v>0</v>
      </c>
      <c r="L117" s="252">
        <f t="shared" si="34"/>
        <v>0</v>
      </c>
      <c r="M117" s="252">
        <v>0</v>
      </c>
      <c r="N117" s="253">
        <f t="shared" si="79"/>
        <v>0</v>
      </c>
      <c r="O117" s="118">
        <f t="shared" si="33"/>
        <v>0</v>
      </c>
    </row>
    <row r="118" spans="3:15" ht="159.94999999999999" customHeight="1">
      <c r="C118" s="107" t="s">
        <v>751</v>
      </c>
      <c r="D118" s="107">
        <f t="shared" ref="D118:D120" si="80">N118</f>
        <v>0</v>
      </c>
      <c r="E118" s="107" t="str">
        <f t="shared" ref="E118:E120" si="81">"Catalogue!"&amp;ADDRESS(ROW(E118),COLUMN(F118))</f>
        <v>Catalogue!$F$118</v>
      </c>
      <c r="F118" s="20"/>
      <c r="G118" s="256">
        <f t="shared" si="36"/>
        <v>36</v>
      </c>
      <c r="H118" s="252">
        <f t="shared" si="74"/>
        <v>0</v>
      </c>
      <c r="I118" s="252"/>
      <c r="J118" s="253">
        <f t="shared" ref="J118:J120" si="82">IF(H118=1,IF(I118=1,G118,0),0)</f>
        <v>0</v>
      </c>
      <c r="K118" s="253">
        <f t="shared" si="75"/>
        <v>0</v>
      </c>
      <c r="L118" s="252">
        <f t="shared" si="34"/>
        <v>0</v>
      </c>
      <c r="M118" s="252">
        <v>4</v>
      </c>
      <c r="N118" s="253">
        <f t="shared" ref="N118:N120" si="83">IF(L118=M118,K118+J118,0)</f>
        <v>0</v>
      </c>
      <c r="O118" s="118">
        <f t="shared" si="33"/>
        <v>0</v>
      </c>
    </row>
    <row r="119" spans="3:15" ht="159.94999999999999" customHeight="1">
      <c r="C119" s="107" t="s">
        <v>751</v>
      </c>
      <c r="D119" s="107">
        <f t="shared" si="80"/>
        <v>0</v>
      </c>
      <c r="E119" s="107" t="str">
        <f t="shared" si="81"/>
        <v>Catalogue!$F$119</v>
      </c>
      <c r="F119" s="20"/>
      <c r="G119" s="256">
        <f t="shared" si="36"/>
        <v>37</v>
      </c>
      <c r="H119" s="252">
        <f t="shared" si="74"/>
        <v>0</v>
      </c>
      <c r="I119" s="252"/>
      <c r="J119" s="253">
        <f t="shared" si="82"/>
        <v>0</v>
      </c>
      <c r="K119" s="253">
        <f t="shared" si="75"/>
        <v>0</v>
      </c>
      <c r="L119" s="252">
        <f t="shared" si="34"/>
        <v>0</v>
      </c>
      <c r="M119" s="252">
        <v>6</v>
      </c>
      <c r="N119" s="253">
        <f t="shared" si="83"/>
        <v>0</v>
      </c>
      <c r="O119" s="118">
        <f t="shared" si="33"/>
        <v>0</v>
      </c>
    </row>
    <row r="120" spans="3:15" ht="159.94999999999999" customHeight="1">
      <c r="C120" s="107" t="s">
        <v>751</v>
      </c>
      <c r="D120" s="107">
        <f t="shared" si="80"/>
        <v>0</v>
      </c>
      <c r="E120" s="107" t="str">
        <f t="shared" si="81"/>
        <v>Catalogue!$F$120</v>
      </c>
      <c r="F120" s="20"/>
      <c r="G120" s="256">
        <f t="shared" si="36"/>
        <v>38</v>
      </c>
      <c r="H120" s="252">
        <f t="shared" si="74"/>
        <v>0</v>
      </c>
      <c r="I120" s="252">
        <v>1</v>
      </c>
      <c r="J120" s="253">
        <f t="shared" si="82"/>
        <v>0</v>
      </c>
      <c r="K120" s="253">
        <f t="shared" si="75"/>
        <v>0</v>
      </c>
      <c r="L120" s="252">
        <f t="shared" si="34"/>
        <v>0</v>
      </c>
      <c r="M120" s="252">
        <v>0</v>
      </c>
      <c r="N120" s="253">
        <f t="shared" si="83"/>
        <v>0</v>
      </c>
      <c r="O120" s="118">
        <f t="shared" si="33"/>
        <v>0</v>
      </c>
    </row>
    <row r="121" spans="3:15" ht="159.94999999999999" customHeight="1">
      <c r="C121" s="107" t="s">
        <v>751</v>
      </c>
      <c r="D121" s="107">
        <f t="shared" si="76"/>
        <v>0</v>
      </c>
      <c r="E121" s="107" t="str">
        <f t="shared" si="77"/>
        <v>Catalogue!$F$121</v>
      </c>
      <c r="F121" s="20"/>
      <c r="G121" s="256">
        <f t="shared" si="36"/>
        <v>39</v>
      </c>
      <c r="H121" s="252">
        <f t="shared" si="74"/>
        <v>0</v>
      </c>
      <c r="I121" s="252">
        <v>1</v>
      </c>
      <c r="J121" s="253">
        <f t="shared" si="78"/>
        <v>0</v>
      </c>
      <c r="K121" s="253">
        <f t="shared" si="75"/>
        <v>0</v>
      </c>
      <c r="L121" s="252">
        <f t="shared" si="34"/>
        <v>0</v>
      </c>
      <c r="M121" s="252">
        <v>4</v>
      </c>
      <c r="N121" s="253">
        <f t="shared" si="79"/>
        <v>0</v>
      </c>
      <c r="O121" s="118">
        <f t="shared" si="33"/>
        <v>0</v>
      </c>
    </row>
    <row r="122" spans="3:15" ht="159.94999999999999" customHeight="1">
      <c r="C122" s="107" t="s">
        <v>751</v>
      </c>
      <c r="D122" s="107">
        <f t="shared" ref="D122:D123" si="84">N122</f>
        <v>0</v>
      </c>
      <c r="E122" s="107" t="str">
        <f t="shared" ref="E122:E123" si="85">"Catalogue!"&amp;ADDRESS(ROW(E122),COLUMN(F122))</f>
        <v>Catalogue!$F$122</v>
      </c>
      <c r="F122" s="20"/>
      <c r="G122" s="256">
        <f t="shared" si="36"/>
        <v>40</v>
      </c>
      <c r="H122" s="252">
        <f t="shared" si="74"/>
        <v>0</v>
      </c>
      <c r="I122" s="252">
        <v>1</v>
      </c>
      <c r="J122" s="253">
        <f t="shared" ref="J122:J123" si="86">IF(H122=1,IF(I122=1,G122,0),0)</f>
        <v>0</v>
      </c>
      <c r="K122" s="253">
        <f t="shared" si="75"/>
        <v>0</v>
      </c>
      <c r="L122" s="252">
        <f t="shared" si="34"/>
        <v>0</v>
      </c>
      <c r="M122" s="252">
        <v>6</v>
      </c>
      <c r="N122" s="253">
        <f t="shared" ref="N122:N123" si="87">IF(L122=M122,K122+J122,0)</f>
        <v>0</v>
      </c>
      <c r="O122" s="118">
        <f t="shared" si="33"/>
        <v>0</v>
      </c>
    </row>
    <row r="123" spans="3:15" ht="159.94999999999999" customHeight="1">
      <c r="C123" s="110" t="s">
        <v>753</v>
      </c>
      <c r="D123" s="110">
        <f t="shared" si="84"/>
        <v>0</v>
      </c>
      <c r="E123" s="110" t="str">
        <f t="shared" si="85"/>
        <v>Catalogue!$F$123</v>
      </c>
      <c r="F123" s="20"/>
      <c r="G123" s="256">
        <f t="shared" si="36"/>
        <v>41</v>
      </c>
      <c r="H123" s="262">
        <f t="shared" si="74"/>
        <v>0</v>
      </c>
      <c r="I123" s="262">
        <v>0</v>
      </c>
      <c r="J123" s="263">
        <f t="shared" si="86"/>
        <v>0</v>
      </c>
      <c r="K123" s="263">
        <f t="shared" si="75"/>
        <v>0</v>
      </c>
      <c r="L123" s="252">
        <f t="shared" si="34"/>
        <v>0</v>
      </c>
      <c r="M123" s="262">
        <v>0</v>
      </c>
      <c r="N123" s="263">
        <f t="shared" si="87"/>
        <v>0</v>
      </c>
      <c r="O123" s="118">
        <f t="shared" si="33"/>
        <v>0</v>
      </c>
    </row>
    <row r="124" spans="3:15" ht="159.94999999999999" customHeight="1">
      <c r="C124" s="110" t="s">
        <v>753</v>
      </c>
      <c r="D124" s="110">
        <f t="shared" ref="D124:D129" si="88">N124</f>
        <v>0</v>
      </c>
      <c r="E124" s="110" t="str">
        <f t="shared" ref="E124:E129" si="89">"Catalogue!"&amp;ADDRESS(ROW(E124),COLUMN(F124))</f>
        <v>Catalogue!$F$124</v>
      </c>
      <c r="F124" s="20"/>
      <c r="G124" s="256">
        <f t="shared" si="36"/>
        <v>42</v>
      </c>
      <c r="H124" s="262">
        <f t="shared" si="74"/>
        <v>0</v>
      </c>
      <c r="I124" s="262">
        <v>0</v>
      </c>
      <c r="J124" s="263">
        <f t="shared" ref="J124:J129" si="90">IF(H124=1,IF(I124=1,G124,0),0)</f>
        <v>0</v>
      </c>
      <c r="K124" s="263">
        <f t="shared" si="75"/>
        <v>0</v>
      </c>
      <c r="L124" s="252">
        <f t="shared" si="34"/>
        <v>0</v>
      </c>
      <c r="M124" s="262">
        <v>4</v>
      </c>
      <c r="N124" s="263">
        <f t="shared" ref="N124:N129" si="91">IF(L124=M124,K124+J124,0)</f>
        <v>0</v>
      </c>
      <c r="O124" s="118">
        <f t="shared" si="33"/>
        <v>0</v>
      </c>
    </row>
    <row r="125" spans="3:15" ht="159.94999999999999" customHeight="1">
      <c r="C125" s="110" t="s">
        <v>753</v>
      </c>
      <c r="D125" s="110">
        <f t="shared" ref="D125" si="92">N125</f>
        <v>0</v>
      </c>
      <c r="E125" s="110" t="str">
        <f t="shared" ref="E125" si="93">"Catalogue!"&amp;ADDRESS(ROW(E125),COLUMN(F125))</f>
        <v>Catalogue!$F$125</v>
      </c>
      <c r="F125" s="20"/>
      <c r="G125" s="256">
        <f t="shared" si="36"/>
        <v>43</v>
      </c>
      <c r="H125" s="262">
        <f t="shared" si="74"/>
        <v>0</v>
      </c>
      <c r="I125" s="262">
        <v>0</v>
      </c>
      <c r="J125" s="263">
        <f t="shared" ref="J125" si="94">IF(H125=1,IF(I125=1,G125,0),0)</f>
        <v>0</v>
      </c>
      <c r="K125" s="263">
        <f t="shared" si="75"/>
        <v>0</v>
      </c>
      <c r="L125" s="252">
        <f t="shared" si="34"/>
        <v>0</v>
      </c>
      <c r="M125" s="262">
        <v>6</v>
      </c>
      <c r="N125" s="263">
        <f t="shared" ref="N125" si="95">IF(L125=M125,K125+J125,0)</f>
        <v>0</v>
      </c>
      <c r="O125" s="118">
        <f t="shared" si="33"/>
        <v>0</v>
      </c>
    </row>
    <row r="126" spans="3:15" ht="159.94999999999999" customHeight="1">
      <c r="C126" s="110" t="s">
        <v>753</v>
      </c>
      <c r="D126" s="110">
        <f t="shared" si="88"/>
        <v>0</v>
      </c>
      <c r="E126" s="110" t="str">
        <f t="shared" si="89"/>
        <v>Catalogue!$F$126</v>
      </c>
      <c r="F126" s="20"/>
      <c r="G126" s="256">
        <f t="shared" si="36"/>
        <v>44</v>
      </c>
      <c r="H126" s="262">
        <f t="shared" si="74"/>
        <v>0</v>
      </c>
      <c r="I126" s="262">
        <v>1</v>
      </c>
      <c r="J126" s="263">
        <f t="shared" si="90"/>
        <v>0</v>
      </c>
      <c r="K126" s="263">
        <f t="shared" si="75"/>
        <v>0</v>
      </c>
      <c r="L126" s="252">
        <f t="shared" si="34"/>
        <v>0</v>
      </c>
      <c r="M126" s="262">
        <v>0</v>
      </c>
      <c r="N126" s="263">
        <f t="shared" si="91"/>
        <v>0</v>
      </c>
      <c r="O126" s="118">
        <f t="shared" si="33"/>
        <v>0</v>
      </c>
    </row>
    <row r="127" spans="3:15" ht="159.94999999999999" customHeight="1">
      <c r="C127" s="110" t="s">
        <v>753</v>
      </c>
      <c r="D127" s="110">
        <f t="shared" si="88"/>
        <v>0</v>
      </c>
      <c r="E127" s="110" t="str">
        <f t="shared" si="89"/>
        <v>Catalogue!$F$127</v>
      </c>
      <c r="F127" s="20"/>
      <c r="G127" s="256">
        <f t="shared" si="36"/>
        <v>45</v>
      </c>
      <c r="H127" s="262">
        <f t="shared" si="74"/>
        <v>0</v>
      </c>
      <c r="I127" s="262">
        <v>1</v>
      </c>
      <c r="J127" s="263">
        <f t="shared" si="90"/>
        <v>0</v>
      </c>
      <c r="K127" s="263">
        <f t="shared" si="75"/>
        <v>0</v>
      </c>
      <c r="L127" s="252">
        <f t="shared" si="34"/>
        <v>0</v>
      </c>
      <c r="M127" s="262">
        <v>4</v>
      </c>
      <c r="N127" s="263">
        <f t="shared" si="91"/>
        <v>0</v>
      </c>
      <c r="O127" s="118">
        <f t="shared" si="33"/>
        <v>0</v>
      </c>
    </row>
    <row r="128" spans="3:15" ht="159.94999999999999" customHeight="1">
      <c r="C128" s="110" t="s">
        <v>753</v>
      </c>
      <c r="D128" s="110">
        <f t="shared" si="88"/>
        <v>0</v>
      </c>
      <c r="E128" s="110" t="str">
        <f t="shared" si="89"/>
        <v>Catalogue!$F$128</v>
      </c>
      <c r="F128" s="20"/>
      <c r="G128" s="256">
        <f t="shared" si="36"/>
        <v>46</v>
      </c>
      <c r="H128" s="262">
        <f t="shared" si="74"/>
        <v>0</v>
      </c>
      <c r="I128" s="262">
        <v>1</v>
      </c>
      <c r="J128" s="263">
        <f t="shared" si="90"/>
        <v>0</v>
      </c>
      <c r="K128" s="263">
        <f t="shared" si="75"/>
        <v>0</v>
      </c>
      <c r="L128" s="252">
        <f t="shared" si="34"/>
        <v>0</v>
      </c>
      <c r="M128" s="262">
        <v>6</v>
      </c>
      <c r="N128" s="263">
        <f t="shared" si="91"/>
        <v>0</v>
      </c>
      <c r="O128" s="118">
        <f t="shared" si="33"/>
        <v>0</v>
      </c>
    </row>
    <row r="129" spans="1:15" ht="159.94999999999999" customHeight="1">
      <c r="C129" s="111" t="s">
        <v>754</v>
      </c>
      <c r="D129" s="111">
        <f t="shared" si="88"/>
        <v>0</v>
      </c>
      <c r="E129" s="111" t="str">
        <f t="shared" si="89"/>
        <v>Catalogue!$F$129</v>
      </c>
      <c r="F129" s="20"/>
      <c r="G129" s="256">
        <f t="shared" si="36"/>
        <v>47</v>
      </c>
      <c r="H129" s="256">
        <f t="shared" si="74"/>
        <v>0</v>
      </c>
      <c r="I129" s="256">
        <v>0</v>
      </c>
      <c r="J129" s="257">
        <f t="shared" si="90"/>
        <v>0</v>
      </c>
      <c r="K129" s="257">
        <f t="shared" si="75"/>
        <v>0</v>
      </c>
      <c r="L129" s="252">
        <f t="shared" si="34"/>
        <v>0</v>
      </c>
      <c r="M129" s="256">
        <v>0</v>
      </c>
      <c r="N129" s="257">
        <f t="shared" si="91"/>
        <v>0</v>
      </c>
      <c r="O129" s="118">
        <f t="shared" si="33"/>
        <v>0</v>
      </c>
    </row>
    <row r="130" spans="1:15" ht="159.94999999999999" customHeight="1">
      <c r="C130" s="111" t="s">
        <v>754</v>
      </c>
      <c r="D130" s="111">
        <f t="shared" ref="D130:D134" si="96">N130</f>
        <v>0</v>
      </c>
      <c r="E130" s="111" t="str">
        <f t="shared" ref="E130:E134" si="97">"Catalogue!"&amp;ADDRESS(ROW(E130),COLUMN(F130))</f>
        <v>Catalogue!$F$130</v>
      </c>
      <c r="F130" s="20"/>
      <c r="G130" s="256">
        <f t="shared" si="36"/>
        <v>48</v>
      </c>
      <c r="H130" s="256">
        <f t="shared" si="74"/>
        <v>0</v>
      </c>
      <c r="I130" s="256">
        <v>0</v>
      </c>
      <c r="J130" s="257">
        <f t="shared" ref="J130:J134" si="98">IF(H130=1,IF(I130=1,G130,0),0)</f>
        <v>0</v>
      </c>
      <c r="K130" s="257">
        <f t="shared" si="75"/>
        <v>0</v>
      </c>
      <c r="L130" s="252">
        <f t="shared" si="34"/>
        <v>0</v>
      </c>
      <c r="M130" s="256">
        <v>4</v>
      </c>
      <c r="N130" s="257">
        <f t="shared" ref="N130:N134" si="99">IF(L130=M130,K130+J130,0)</f>
        <v>0</v>
      </c>
      <c r="O130" s="118">
        <f t="shared" si="33"/>
        <v>0</v>
      </c>
    </row>
    <row r="131" spans="1:15" ht="159.94999999999999" customHeight="1">
      <c r="C131" s="111" t="s">
        <v>754</v>
      </c>
      <c r="D131" s="111">
        <f t="shared" si="96"/>
        <v>0</v>
      </c>
      <c r="E131" s="111" t="str">
        <f t="shared" si="97"/>
        <v>Catalogue!$F$131</v>
      </c>
      <c r="F131" s="20"/>
      <c r="G131" s="256">
        <f t="shared" si="36"/>
        <v>49</v>
      </c>
      <c r="H131" s="256">
        <f t="shared" si="74"/>
        <v>0</v>
      </c>
      <c r="I131" s="256">
        <v>0</v>
      </c>
      <c r="J131" s="257">
        <f t="shared" si="98"/>
        <v>0</v>
      </c>
      <c r="K131" s="257">
        <f t="shared" si="75"/>
        <v>0</v>
      </c>
      <c r="L131" s="252">
        <f t="shared" si="34"/>
        <v>0</v>
      </c>
      <c r="M131" s="256">
        <v>6</v>
      </c>
      <c r="N131" s="257">
        <f t="shared" si="99"/>
        <v>0</v>
      </c>
      <c r="O131" s="118">
        <f t="shared" si="33"/>
        <v>0</v>
      </c>
    </row>
    <row r="132" spans="1:15" ht="159.94999999999999" customHeight="1">
      <c r="C132" s="111" t="s">
        <v>754</v>
      </c>
      <c r="D132" s="111">
        <f t="shared" si="96"/>
        <v>0</v>
      </c>
      <c r="E132" s="111" t="str">
        <f t="shared" si="97"/>
        <v>Catalogue!$F$132</v>
      </c>
      <c r="F132" s="20"/>
      <c r="G132" s="256">
        <f t="shared" si="36"/>
        <v>50</v>
      </c>
      <c r="H132" s="256">
        <f t="shared" si="74"/>
        <v>0</v>
      </c>
      <c r="I132" s="256">
        <v>1</v>
      </c>
      <c r="J132" s="257">
        <f t="shared" si="98"/>
        <v>0</v>
      </c>
      <c r="K132" s="257">
        <f t="shared" si="75"/>
        <v>0</v>
      </c>
      <c r="L132" s="252">
        <f t="shared" si="34"/>
        <v>0</v>
      </c>
      <c r="M132" s="256">
        <v>0</v>
      </c>
      <c r="N132" s="257">
        <f t="shared" si="99"/>
        <v>0</v>
      </c>
      <c r="O132" s="118">
        <f t="shared" si="33"/>
        <v>0</v>
      </c>
    </row>
    <row r="133" spans="1:15" ht="159.94999999999999" customHeight="1">
      <c r="C133" s="111" t="s">
        <v>754</v>
      </c>
      <c r="D133" s="111">
        <f t="shared" si="96"/>
        <v>0</v>
      </c>
      <c r="E133" s="111" t="str">
        <f t="shared" si="97"/>
        <v>Catalogue!$F$133</v>
      </c>
      <c r="F133" s="20"/>
      <c r="G133" s="256">
        <f t="shared" si="36"/>
        <v>51</v>
      </c>
      <c r="H133" s="256">
        <f t="shared" si="74"/>
        <v>0</v>
      </c>
      <c r="I133" s="256">
        <v>1</v>
      </c>
      <c r="J133" s="257">
        <f t="shared" si="98"/>
        <v>0</v>
      </c>
      <c r="K133" s="257">
        <f t="shared" si="75"/>
        <v>0</v>
      </c>
      <c r="L133" s="252">
        <f t="shared" si="34"/>
        <v>0</v>
      </c>
      <c r="M133" s="256">
        <v>4</v>
      </c>
      <c r="N133" s="257">
        <f t="shared" si="99"/>
        <v>0</v>
      </c>
      <c r="O133" s="118">
        <f t="shared" si="33"/>
        <v>0</v>
      </c>
    </row>
    <row r="134" spans="1:15" ht="159.94999999999999" customHeight="1">
      <c r="C134" s="111" t="s">
        <v>754</v>
      </c>
      <c r="D134" s="111">
        <f t="shared" si="96"/>
        <v>0</v>
      </c>
      <c r="E134" s="111" t="str">
        <f t="shared" si="97"/>
        <v>Catalogue!$F$134</v>
      </c>
      <c r="F134" s="20"/>
      <c r="G134" s="256">
        <f t="shared" si="36"/>
        <v>52</v>
      </c>
      <c r="H134" s="256">
        <f t="shared" si="74"/>
        <v>0</v>
      </c>
      <c r="I134" s="256">
        <v>1</v>
      </c>
      <c r="J134" s="257">
        <f t="shared" si="98"/>
        <v>0</v>
      </c>
      <c r="K134" s="257">
        <f t="shared" si="75"/>
        <v>0</v>
      </c>
      <c r="L134" s="252">
        <f t="shared" si="34"/>
        <v>0</v>
      </c>
      <c r="M134" s="256">
        <v>6</v>
      </c>
      <c r="N134" s="257">
        <f t="shared" si="99"/>
        <v>0</v>
      </c>
      <c r="O134" s="118">
        <f>IF(L134&gt;0,IF(M134&gt;0,IF(L134&lt;=M134,0,1),0),0)</f>
        <v>0</v>
      </c>
    </row>
    <row r="135" spans="1:15" ht="159.94999999999999" customHeight="1" thickBot="1">
      <c r="C135" s="117" t="str">
        <f>B71</f>
        <v>3x3 4 Pieds</v>
      </c>
      <c r="D135" s="117">
        <f>IF(SUM(D71:D134)&gt;0,0,65)</f>
        <v>0</v>
      </c>
      <c r="E135" s="117" t="str">
        <f t="shared" si="77"/>
        <v>Catalogue!$F$135</v>
      </c>
      <c r="F135" s="306"/>
      <c r="G135" s="264">
        <f>G134+1</f>
        <v>53</v>
      </c>
      <c r="H135" s="264">
        <f t="shared" si="74"/>
        <v>1</v>
      </c>
      <c r="I135" s="264">
        <v>1</v>
      </c>
      <c r="J135" s="265">
        <f t="shared" si="78"/>
        <v>53</v>
      </c>
      <c r="K135" s="265">
        <f t="shared" si="75"/>
        <v>0</v>
      </c>
      <c r="L135" s="264">
        <f t="shared" ref="L135" si="100">IF($B$71=C135,IF($B$75="Yes",2*$B$79,0),0)</f>
        <v>0</v>
      </c>
      <c r="M135" s="264">
        <v>6</v>
      </c>
      <c r="N135" s="265">
        <f>O135</f>
        <v>0</v>
      </c>
      <c r="O135" s="118">
        <v>0</v>
      </c>
    </row>
    <row r="136" spans="1:15" ht="159.94999999999999" customHeight="1" thickTop="1" thickBot="1">
      <c r="D136" s="119">
        <f>IF(D137=0,65,D137)</f>
        <v>26</v>
      </c>
      <c r="G136" s="266"/>
      <c r="H136" s="266"/>
      <c r="I136" s="266"/>
      <c r="J136" s="266"/>
      <c r="K136" s="266"/>
      <c r="L136" s="266"/>
      <c r="M136" s="266"/>
      <c r="N136" s="265">
        <f>SUM(N71:N135)</f>
        <v>26</v>
      </c>
      <c r="O136" s="118">
        <f>SUM(O71:O134)</f>
        <v>0</v>
      </c>
    </row>
    <row r="137" spans="1:15" ht="159.94999999999999" customHeight="1" thickTop="1" thickBot="1">
      <c r="D137" s="119">
        <f>SUM(D71:D135)</f>
        <v>26</v>
      </c>
      <c r="F137" s="102"/>
    </row>
    <row r="138" spans="1:15" ht="9.9499999999999993" customHeight="1" thickTop="1"/>
    <row r="140" spans="1:15" ht="20.100000000000001" customHeight="1" thickBot="1">
      <c r="C140" s="274" t="s">
        <v>0</v>
      </c>
      <c r="D140" s="274" t="s">
        <v>653</v>
      </c>
      <c r="E140" s="275"/>
      <c r="F140" s="275"/>
      <c r="H140" s="274" t="s">
        <v>653</v>
      </c>
      <c r="J140" s="274" t="s">
        <v>651</v>
      </c>
      <c r="K140" s="274" t="s">
        <v>652</v>
      </c>
      <c r="L140" s="274" t="s">
        <v>648</v>
      </c>
    </row>
    <row r="141" spans="1:15" ht="159.94999999999999" customHeight="1" thickBot="1">
      <c r="B141" s="276" t="str">
        <f>'Définition PERGOSOLAR'!G15</f>
        <v>3x3 4 Pieds</v>
      </c>
      <c r="C141" s="277" t="s">
        <v>745</v>
      </c>
      <c r="D141" s="269">
        <v>1</v>
      </c>
      <c r="E141" s="101" t="str">
        <f>"Catalogue!"&amp;ADDRESS(ROW(E141),COLUMN(F141))</f>
        <v>Catalogue!$F$141</v>
      </c>
      <c r="F141" s="20"/>
      <c r="H141" s="269">
        <f t="shared" ref="H141:H176" si="101">IF(L141&gt;0,D141,0)</f>
        <v>0</v>
      </c>
      <c r="J141" s="269">
        <f t="shared" ref="J141:J177" si="102">IF($B$141=C141,1,0)</f>
        <v>0</v>
      </c>
      <c r="K141" s="269">
        <f>IF(J141=1,IF(AND($B$142="Yes",$B$143&gt;0),$B$143,0),0)</f>
        <v>0</v>
      </c>
      <c r="L141" s="269">
        <f>IF(K143&gt;0,0,K141)</f>
        <v>0</v>
      </c>
    </row>
    <row r="142" spans="1:15" ht="159.94999999999999" customHeight="1" thickBot="1">
      <c r="A142" s="279" t="s">
        <v>647</v>
      </c>
      <c r="B142" s="276" t="str">
        <f>'Définition PERGOSOLAR'!G40</f>
        <v>Yes</v>
      </c>
      <c r="C142" s="277" t="s">
        <v>745</v>
      </c>
      <c r="D142" s="269">
        <f>D141+1</f>
        <v>2</v>
      </c>
      <c r="E142" s="101" t="str">
        <f t="shared" ref="E142:E177" si="103">"Catalogue!"&amp;ADDRESS(ROW(E142),COLUMN(F142))</f>
        <v>Catalogue!$F$142</v>
      </c>
      <c r="F142" s="20"/>
      <c r="H142" s="269">
        <f t="shared" si="101"/>
        <v>0</v>
      </c>
      <c r="J142" s="269">
        <f t="shared" si="102"/>
        <v>0</v>
      </c>
      <c r="K142" s="269">
        <f>IF(J142=1,IF(AND($B$144="Yes",$B$145&gt;0),$B$145,0),0)</f>
        <v>0</v>
      </c>
      <c r="L142" s="269">
        <f>IF(K143&gt;0,0,K142)</f>
        <v>0</v>
      </c>
    </row>
    <row r="143" spans="1:15" ht="159.94999999999999" customHeight="1" thickBot="1">
      <c r="A143" s="279" t="s">
        <v>649</v>
      </c>
      <c r="B143" s="276">
        <f>'Définition PERGOSOLAR'!G41</f>
        <v>1</v>
      </c>
      <c r="C143" s="277" t="s">
        <v>745</v>
      </c>
      <c r="D143" s="269">
        <f t="shared" ref="D143:D177" si="104">D142+1</f>
        <v>3</v>
      </c>
      <c r="E143" s="101" t="str">
        <f t="shared" si="103"/>
        <v>Catalogue!$F$143</v>
      </c>
      <c r="F143" s="20"/>
      <c r="H143" s="269">
        <f t="shared" si="101"/>
        <v>0</v>
      </c>
      <c r="J143" s="269">
        <f t="shared" si="102"/>
        <v>0</v>
      </c>
      <c r="K143" s="269">
        <f>IF(J143=1,IF(AND($B$142="Yes",$B$143&gt;0),IF(AND($B$144="Yes",$B$145&gt;0),1,0),0),0)</f>
        <v>0</v>
      </c>
      <c r="L143" s="269">
        <f>IF(K143&gt;0,1,0)</f>
        <v>0</v>
      </c>
    </row>
    <row r="144" spans="1:15" ht="159.94999999999999" customHeight="1" thickBot="1">
      <c r="A144" s="279" t="s">
        <v>650</v>
      </c>
      <c r="B144" s="276" t="str">
        <f>'Définition PERGOSOLAR'!G42</f>
        <v>Yes</v>
      </c>
      <c r="C144" s="278" t="s">
        <v>746</v>
      </c>
      <c r="D144" s="269">
        <f t="shared" si="104"/>
        <v>4</v>
      </c>
      <c r="E144" s="101" t="str">
        <f t="shared" si="103"/>
        <v>Catalogue!$F$144</v>
      </c>
      <c r="F144" s="20"/>
      <c r="H144" s="269">
        <f t="shared" si="101"/>
        <v>0</v>
      </c>
      <c r="J144" s="269">
        <f t="shared" si="102"/>
        <v>0</v>
      </c>
      <c r="K144" s="269">
        <f>IF(J144=1,IF(AND($B$142="Yes",$B$143&gt;0),$B$143,0),0)</f>
        <v>0</v>
      </c>
      <c r="L144" s="269">
        <f>IF(K146&gt;0,0,K144)</f>
        <v>0</v>
      </c>
    </row>
    <row r="145" spans="1:12" ht="159.94999999999999" customHeight="1" thickBot="1">
      <c r="A145" s="279" t="s">
        <v>649</v>
      </c>
      <c r="B145" s="276">
        <f>'Définition PERGOSOLAR'!G43</f>
        <v>1</v>
      </c>
      <c r="C145" s="278" t="s">
        <v>746</v>
      </c>
      <c r="D145" s="269">
        <f t="shared" si="104"/>
        <v>5</v>
      </c>
      <c r="E145" s="101" t="str">
        <f t="shared" si="103"/>
        <v>Catalogue!$F$145</v>
      </c>
      <c r="F145" s="20"/>
      <c r="H145" s="269">
        <f t="shared" si="101"/>
        <v>0</v>
      </c>
      <c r="J145" s="269">
        <f t="shared" si="102"/>
        <v>0</v>
      </c>
      <c r="K145" s="269">
        <f>IF(J145=1,IF(AND($B$144="Yes",$B$145&gt;0),$B$145,0),0)</f>
        <v>0</v>
      </c>
      <c r="L145" s="269">
        <f>IF(K146&gt;0,0,K145)</f>
        <v>0</v>
      </c>
    </row>
    <row r="146" spans="1:12" ht="159.94999999999999" customHeight="1">
      <c r="C146" s="278" t="s">
        <v>746</v>
      </c>
      <c r="D146" s="269">
        <f t="shared" si="104"/>
        <v>6</v>
      </c>
      <c r="E146" s="101" t="str">
        <f t="shared" si="103"/>
        <v>Catalogue!$F$146</v>
      </c>
      <c r="F146" s="20"/>
      <c r="H146" s="269">
        <f t="shared" si="101"/>
        <v>0</v>
      </c>
      <c r="J146" s="269">
        <f t="shared" si="102"/>
        <v>0</v>
      </c>
      <c r="K146" s="269">
        <f>IF(J146=1,IF(AND($B$142="Yes",$B$143&gt;0),IF(AND($B$144="Yes",$B$145&gt;0),1,0),0),0)</f>
        <v>0</v>
      </c>
      <c r="L146" s="269">
        <f>IF(K146&gt;0,1,0)</f>
        <v>0</v>
      </c>
    </row>
    <row r="147" spans="1:12" ht="159.94999999999999" customHeight="1">
      <c r="C147" s="278" t="s">
        <v>748</v>
      </c>
      <c r="D147" s="269">
        <f t="shared" si="104"/>
        <v>7</v>
      </c>
      <c r="E147" s="101" t="str">
        <f t="shared" si="103"/>
        <v>Catalogue!$F$147</v>
      </c>
      <c r="F147" s="20"/>
      <c r="H147" s="269">
        <f t="shared" si="101"/>
        <v>0</v>
      </c>
      <c r="J147" s="269">
        <f t="shared" si="102"/>
        <v>0</v>
      </c>
      <c r="K147" s="269">
        <f>IF(J147=1,IF(AND($B$142="Yes",$B$143&gt;0),$B$143,0),0)</f>
        <v>0</v>
      </c>
      <c r="L147" s="269">
        <f>IF(K149&gt;0,0,K147)</f>
        <v>0</v>
      </c>
    </row>
    <row r="148" spans="1:12" ht="159.94999999999999" customHeight="1">
      <c r="C148" s="278" t="s">
        <v>748</v>
      </c>
      <c r="D148" s="269">
        <f t="shared" si="104"/>
        <v>8</v>
      </c>
      <c r="E148" s="101" t="str">
        <f t="shared" si="103"/>
        <v>Catalogue!$F$148</v>
      </c>
      <c r="F148" s="20"/>
      <c r="H148" s="269">
        <f t="shared" si="101"/>
        <v>0</v>
      </c>
      <c r="J148" s="269">
        <f t="shared" si="102"/>
        <v>0</v>
      </c>
      <c r="K148" s="269">
        <f>IF(J148=1,IF(AND($B$144="Yes",$B$145&gt;0),$B$145,0),0)</f>
        <v>0</v>
      </c>
      <c r="L148" s="269">
        <f>IF(K149&gt;0,0,K148)</f>
        <v>0</v>
      </c>
    </row>
    <row r="149" spans="1:12" ht="159.94999999999999" customHeight="1">
      <c r="C149" s="278" t="s">
        <v>748</v>
      </c>
      <c r="D149" s="269">
        <f t="shared" si="104"/>
        <v>9</v>
      </c>
      <c r="E149" s="101" t="str">
        <f t="shared" si="103"/>
        <v>Catalogue!$F$149</v>
      </c>
      <c r="F149" s="20"/>
      <c r="H149" s="269">
        <f t="shared" si="101"/>
        <v>0</v>
      </c>
      <c r="J149" s="269">
        <f t="shared" si="102"/>
        <v>0</v>
      </c>
      <c r="K149" s="269">
        <f>IF(J149=1,IF(AND($B$142="Yes",$B$143&gt;0),IF(AND($B$144="Yes",$B$145&gt;0),1,0),0),0)</f>
        <v>0</v>
      </c>
      <c r="L149" s="269">
        <f>IF(K149&gt;0,1,0)</f>
        <v>0</v>
      </c>
    </row>
    <row r="150" spans="1:12" ht="159.94999999999999" customHeight="1">
      <c r="C150" s="278" t="s">
        <v>747</v>
      </c>
      <c r="D150" s="269">
        <f t="shared" si="104"/>
        <v>10</v>
      </c>
      <c r="E150" s="101" t="str">
        <f t="shared" si="103"/>
        <v>Catalogue!$F$150</v>
      </c>
      <c r="F150" s="20"/>
      <c r="H150" s="269">
        <f t="shared" si="101"/>
        <v>0</v>
      </c>
      <c r="J150" s="269">
        <f t="shared" si="102"/>
        <v>0</v>
      </c>
      <c r="K150" s="269">
        <f>IF(J150=1,IF(AND($B$142="Yes",$B$143&gt;0),$B$143,0),0)</f>
        <v>0</v>
      </c>
      <c r="L150" s="269">
        <f>IF(K152&gt;0,0,K150)</f>
        <v>0</v>
      </c>
    </row>
    <row r="151" spans="1:12" ht="159.94999999999999" customHeight="1">
      <c r="C151" s="278" t="s">
        <v>747</v>
      </c>
      <c r="D151" s="269">
        <f t="shared" si="104"/>
        <v>11</v>
      </c>
      <c r="E151" s="101" t="str">
        <f t="shared" si="103"/>
        <v>Catalogue!$F$151</v>
      </c>
      <c r="F151" s="20"/>
      <c r="H151" s="269">
        <f>IF(L151&gt;0,D151,0)</f>
        <v>0</v>
      </c>
      <c r="J151" s="269">
        <f t="shared" si="102"/>
        <v>0</v>
      </c>
      <c r="K151" s="269">
        <f>IF(J151=1,IF(AND($B$144="Yes",$B$145&gt;0),$B$145,0),0)</f>
        <v>0</v>
      </c>
      <c r="L151" s="269">
        <f>IF(K152&gt;0,0,K151)</f>
        <v>0</v>
      </c>
    </row>
    <row r="152" spans="1:12" ht="159.94999999999999" customHeight="1">
      <c r="C152" s="278" t="s">
        <v>747</v>
      </c>
      <c r="D152" s="269">
        <f t="shared" si="104"/>
        <v>12</v>
      </c>
      <c r="E152" s="101" t="str">
        <f t="shared" si="103"/>
        <v>Catalogue!$F$152</v>
      </c>
      <c r="F152" s="20"/>
      <c r="H152" s="269">
        <f t="shared" si="101"/>
        <v>0</v>
      </c>
      <c r="J152" s="269">
        <f t="shared" si="102"/>
        <v>0</v>
      </c>
      <c r="K152" s="269">
        <f>IF(J152=1,IF(AND($B$142="Yes",$B$143&gt;0),IF(AND($B$144="Yes",$B$145&gt;0),1,0),0),0)</f>
        <v>0</v>
      </c>
      <c r="L152" s="269">
        <f>IF(K152&gt;0,1,0)</f>
        <v>0</v>
      </c>
    </row>
    <row r="153" spans="1:12" s="408" customFormat="1" ht="159.94999999999999" customHeight="1">
      <c r="C153" s="278" t="s">
        <v>1005</v>
      </c>
      <c r="D153" s="269">
        <f>D177+1</f>
        <v>32</v>
      </c>
      <c r="E153" s="454" t="str">
        <f t="shared" si="103"/>
        <v>Catalogue!$F$153</v>
      </c>
      <c r="F153" s="409"/>
      <c r="H153" s="269">
        <f t="shared" si="101"/>
        <v>0</v>
      </c>
      <c r="J153" s="269">
        <f t="shared" ref="J153:J158" si="105">IF($B$141=C153,1,0)</f>
        <v>0</v>
      </c>
      <c r="K153" s="269">
        <f>IF(J153=1,IF(AND($B$142="Yes",$B$143&gt;0),$B$143,0),0)</f>
        <v>0</v>
      </c>
      <c r="L153" s="269">
        <f>IF(K155&gt;0,0,K153)</f>
        <v>0</v>
      </c>
    </row>
    <row r="154" spans="1:12" s="408" customFormat="1" ht="159.94999999999999" customHeight="1">
      <c r="C154" s="278" t="s">
        <v>1005</v>
      </c>
      <c r="D154" s="269">
        <f>D153+1</f>
        <v>33</v>
      </c>
      <c r="E154" s="454" t="str">
        <f t="shared" si="103"/>
        <v>Catalogue!$F$154</v>
      </c>
      <c r="F154" s="409"/>
      <c r="H154" s="269">
        <f t="shared" si="101"/>
        <v>0</v>
      </c>
      <c r="J154" s="269">
        <f t="shared" si="105"/>
        <v>0</v>
      </c>
      <c r="K154" s="269">
        <f>IF(J154=1,IF(AND($B$144="Yes",$B$145&gt;0),$B$145,0),0)</f>
        <v>0</v>
      </c>
      <c r="L154" s="269">
        <f>IF(K155&gt;0,0,K154)</f>
        <v>0</v>
      </c>
    </row>
    <row r="155" spans="1:12" s="408" customFormat="1" ht="159.94999999999999" customHeight="1">
      <c r="C155" s="278" t="s">
        <v>1005</v>
      </c>
      <c r="D155" s="269">
        <f t="shared" ref="D155:D158" si="106">D154+1</f>
        <v>34</v>
      </c>
      <c r="E155" s="454" t="str">
        <f t="shared" si="103"/>
        <v>Catalogue!$F$155</v>
      </c>
      <c r="F155" s="409"/>
      <c r="H155" s="269">
        <f t="shared" si="101"/>
        <v>0</v>
      </c>
      <c r="J155" s="269">
        <f t="shared" si="105"/>
        <v>0</v>
      </c>
      <c r="K155" s="269">
        <f>IF(J155=1,IF(AND($B$142="Yes",$B$143&gt;0),IF(AND($B$144="Yes",$B$145&gt;0),1,0),0),0)</f>
        <v>0</v>
      </c>
      <c r="L155" s="269">
        <f t="shared" ref="L155:L158" si="107">IF(K155&gt;0,1,0)</f>
        <v>0</v>
      </c>
    </row>
    <row r="156" spans="1:12" s="408" customFormat="1" ht="159.94999999999999" customHeight="1">
      <c r="C156" s="278" t="s">
        <v>1006</v>
      </c>
      <c r="D156" s="269">
        <f t="shared" si="106"/>
        <v>35</v>
      </c>
      <c r="E156" s="454" t="str">
        <f t="shared" si="103"/>
        <v>Catalogue!$F$156</v>
      </c>
      <c r="F156" s="409"/>
      <c r="H156" s="269">
        <f t="shared" si="101"/>
        <v>0</v>
      </c>
      <c r="J156" s="269">
        <f t="shared" si="105"/>
        <v>0</v>
      </c>
      <c r="K156" s="269">
        <f>IF(J156=1,IF(AND($B$142="Yes",$B$143&gt;0),$B$143,0),0)</f>
        <v>0</v>
      </c>
      <c r="L156" s="269">
        <f>IF(K158&gt;0,0,K156)</f>
        <v>0</v>
      </c>
    </row>
    <row r="157" spans="1:12" s="408" customFormat="1" ht="159.94999999999999" customHeight="1">
      <c r="C157" s="278" t="s">
        <v>1006</v>
      </c>
      <c r="D157" s="269">
        <f t="shared" si="106"/>
        <v>36</v>
      </c>
      <c r="E157" s="454" t="str">
        <f t="shared" si="103"/>
        <v>Catalogue!$F$157</v>
      </c>
      <c r="F157" s="409"/>
      <c r="H157" s="269">
        <f t="shared" si="101"/>
        <v>0</v>
      </c>
      <c r="J157" s="269">
        <f t="shared" si="105"/>
        <v>0</v>
      </c>
      <c r="K157" s="269">
        <f>IF(J157=1,IF(AND($B$144="Yes",$B$145&gt;0),$B$145,0),0)</f>
        <v>0</v>
      </c>
      <c r="L157" s="269">
        <f>IF(K158&gt;0,0,K157)</f>
        <v>0</v>
      </c>
    </row>
    <row r="158" spans="1:12" s="408" customFormat="1" ht="159.94999999999999" customHeight="1">
      <c r="C158" s="278" t="s">
        <v>1006</v>
      </c>
      <c r="D158" s="269">
        <f t="shared" si="106"/>
        <v>37</v>
      </c>
      <c r="E158" s="454" t="str">
        <f t="shared" si="103"/>
        <v>Catalogue!$F$158</v>
      </c>
      <c r="F158" s="409"/>
      <c r="H158" s="269">
        <f t="shared" si="101"/>
        <v>0</v>
      </c>
      <c r="J158" s="269">
        <f t="shared" si="105"/>
        <v>0</v>
      </c>
      <c r="K158" s="269">
        <f>IF(J158=1,IF(AND($B$142="Yes",$B$143&gt;0),IF(AND($B$144="Yes",$B$145&gt;0),1,0),0),0)</f>
        <v>0</v>
      </c>
      <c r="L158" s="269">
        <f t="shared" si="107"/>
        <v>0</v>
      </c>
    </row>
    <row r="159" spans="1:12" ht="159.94999999999999" customHeight="1">
      <c r="C159" s="278" t="s">
        <v>749</v>
      </c>
      <c r="D159" s="269">
        <f>D152+1</f>
        <v>13</v>
      </c>
      <c r="E159" s="101" t="str">
        <f t="shared" si="103"/>
        <v>Catalogue!$F$159</v>
      </c>
      <c r="F159" s="20"/>
      <c r="H159" s="269">
        <f t="shared" si="101"/>
        <v>0</v>
      </c>
      <c r="J159" s="269">
        <f t="shared" si="102"/>
        <v>0</v>
      </c>
      <c r="K159" s="269">
        <f>IF(J159=1,IF(AND($B$142="Yes",$B$143&gt;0),$B$143,0),0)</f>
        <v>0</v>
      </c>
      <c r="L159" s="269">
        <f>IF(K161&gt;0,0,K159)</f>
        <v>0</v>
      </c>
    </row>
    <row r="160" spans="1:12" ht="159.94999999999999" customHeight="1">
      <c r="C160" s="278" t="s">
        <v>749</v>
      </c>
      <c r="D160" s="269">
        <f t="shared" si="104"/>
        <v>14</v>
      </c>
      <c r="E160" s="101" t="str">
        <f t="shared" si="103"/>
        <v>Catalogue!$F$160</v>
      </c>
      <c r="F160" s="20"/>
      <c r="H160" s="269">
        <f t="shared" si="101"/>
        <v>0</v>
      </c>
      <c r="J160" s="269">
        <f t="shared" si="102"/>
        <v>0</v>
      </c>
      <c r="K160" s="269">
        <f>IF(J160=1,IF(AND($B$144="Yes",$B$145&gt;0),$B$145,0),0)</f>
        <v>0</v>
      </c>
      <c r="L160" s="269">
        <f>IF(K161&gt;0,0,K160)</f>
        <v>0</v>
      </c>
    </row>
    <row r="161" spans="3:12" ht="159.94999999999999" customHeight="1">
      <c r="C161" s="278" t="s">
        <v>749</v>
      </c>
      <c r="D161" s="269">
        <f t="shared" si="104"/>
        <v>15</v>
      </c>
      <c r="E161" s="101" t="str">
        <f t="shared" si="103"/>
        <v>Catalogue!$F$161</v>
      </c>
      <c r="F161" s="20"/>
      <c r="H161" s="269">
        <f t="shared" si="101"/>
        <v>0</v>
      </c>
      <c r="J161" s="269">
        <f t="shared" si="102"/>
        <v>0</v>
      </c>
      <c r="K161" s="269">
        <f>IF(J161=1,IF(AND($B$142="Yes",$B$143&gt;0),IF(AND($B$144="Yes",$B$145&gt;0),1,0),0),0)</f>
        <v>0</v>
      </c>
      <c r="L161" s="269">
        <f>IF(K161&gt;0,1,0)</f>
        <v>0</v>
      </c>
    </row>
    <row r="162" spans="3:12" ht="159.94999999999999" customHeight="1">
      <c r="C162" s="278" t="s">
        <v>750</v>
      </c>
      <c r="D162" s="269">
        <f t="shared" si="104"/>
        <v>16</v>
      </c>
      <c r="E162" s="101" t="str">
        <f t="shared" si="103"/>
        <v>Catalogue!$F$162</v>
      </c>
      <c r="F162" s="20"/>
      <c r="H162" s="269">
        <f t="shared" si="101"/>
        <v>0</v>
      </c>
      <c r="J162" s="269">
        <f t="shared" si="102"/>
        <v>1</v>
      </c>
      <c r="K162" s="269">
        <f>IF(J162=1,IF(AND($B$142="Yes",$B$143&gt;0),$B$143,0),0)</f>
        <v>1</v>
      </c>
      <c r="L162" s="269">
        <f>IF(K164&gt;0,0,K162)</f>
        <v>0</v>
      </c>
    </row>
    <row r="163" spans="3:12" ht="159.94999999999999" customHeight="1">
      <c r="C163" s="278" t="s">
        <v>750</v>
      </c>
      <c r="D163" s="269">
        <f t="shared" si="104"/>
        <v>17</v>
      </c>
      <c r="E163" s="101" t="str">
        <f t="shared" si="103"/>
        <v>Catalogue!$F$163</v>
      </c>
      <c r="F163" s="20"/>
      <c r="H163" s="269">
        <f t="shared" si="101"/>
        <v>0</v>
      </c>
      <c r="J163" s="269">
        <f t="shared" si="102"/>
        <v>1</v>
      </c>
      <c r="K163" s="269">
        <f>IF(J163=1,IF(AND($B$144="Yes",$B$143&gt;0),$B$145,0),0)</f>
        <v>1</v>
      </c>
      <c r="L163" s="269">
        <f>IF(K164&gt;0,0,K163)</f>
        <v>0</v>
      </c>
    </row>
    <row r="164" spans="3:12" ht="159.94999999999999" customHeight="1">
      <c r="C164" s="278" t="s">
        <v>750</v>
      </c>
      <c r="D164" s="269">
        <f t="shared" si="104"/>
        <v>18</v>
      </c>
      <c r="E164" s="101" t="str">
        <f t="shared" si="103"/>
        <v>Catalogue!$F$164</v>
      </c>
      <c r="F164" s="20"/>
      <c r="H164" s="269">
        <f t="shared" si="101"/>
        <v>18</v>
      </c>
      <c r="J164" s="269">
        <f t="shared" si="102"/>
        <v>1</v>
      </c>
      <c r="K164" s="269">
        <f>IF(J164=1,IF(AND($B$142="Yes",$B$143&gt;0),IF(AND($B$144="Yes",$B$145&gt;0),1,0),0),0)</f>
        <v>1</v>
      </c>
      <c r="L164" s="269">
        <f>IF(K164&gt;0,1,0)</f>
        <v>1</v>
      </c>
    </row>
    <row r="165" spans="3:12" ht="159.94999999999999" customHeight="1">
      <c r="C165" s="278" t="s">
        <v>752</v>
      </c>
      <c r="D165" s="269">
        <f t="shared" si="104"/>
        <v>19</v>
      </c>
      <c r="E165" s="101" t="str">
        <f t="shared" si="103"/>
        <v>Catalogue!$F$165</v>
      </c>
      <c r="F165" s="20"/>
      <c r="H165" s="269">
        <f t="shared" si="101"/>
        <v>0</v>
      </c>
      <c r="J165" s="269">
        <f t="shared" si="102"/>
        <v>0</v>
      </c>
      <c r="K165" s="269">
        <f>IF(J165=1,IF(AND($B$142="Yes",$B$143&gt;0),$B$143,0),0)</f>
        <v>0</v>
      </c>
      <c r="L165" s="269">
        <f>IF(K167&gt;0,0,K165)</f>
        <v>0</v>
      </c>
    </row>
    <row r="166" spans="3:12" ht="159.94999999999999" customHeight="1">
      <c r="C166" s="278" t="s">
        <v>752</v>
      </c>
      <c r="D166" s="269">
        <f t="shared" si="104"/>
        <v>20</v>
      </c>
      <c r="E166" s="101" t="str">
        <f t="shared" si="103"/>
        <v>Catalogue!$F$166</v>
      </c>
      <c r="F166" s="20"/>
      <c r="H166" s="269">
        <f t="shared" si="101"/>
        <v>0</v>
      </c>
      <c r="J166" s="269">
        <f t="shared" si="102"/>
        <v>0</v>
      </c>
      <c r="K166" s="269">
        <f>IF(J166=1,IF(AND($B$144="Yes",$B$145&gt;0),$B$145,0),0)</f>
        <v>0</v>
      </c>
      <c r="L166" s="269">
        <f>IF(K167&gt;0,0,K166)</f>
        <v>0</v>
      </c>
    </row>
    <row r="167" spans="3:12" ht="159.94999999999999" customHeight="1">
      <c r="C167" s="278" t="s">
        <v>752</v>
      </c>
      <c r="D167" s="269">
        <f t="shared" si="104"/>
        <v>21</v>
      </c>
      <c r="E167" s="101" t="str">
        <f t="shared" si="103"/>
        <v>Catalogue!$F$167</v>
      </c>
      <c r="F167" s="20"/>
      <c r="H167" s="269">
        <f t="shared" si="101"/>
        <v>0</v>
      </c>
      <c r="J167" s="269">
        <f t="shared" si="102"/>
        <v>0</v>
      </c>
      <c r="K167" s="269">
        <f>IF(J167=1,IF(AND($B$142="Yes",$B$143&gt;0),IF(AND($B$144="Yes",$B$145&gt;0),1,0),0),0)</f>
        <v>0</v>
      </c>
      <c r="L167" s="269">
        <f>IF(K167&gt;0,1,0)</f>
        <v>0</v>
      </c>
    </row>
    <row r="168" spans="3:12" ht="159.94999999999999" customHeight="1">
      <c r="C168" s="278" t="s">
        <v>751</v>
      </c>
      <c r="D168" s="269">
        <f t="shared" si="104"/>
        <v>22</v>
      </c>
      <c r="E168" s="101" t="str">
        <f t="shared" si="103"/>
        <v>Catalogue!$F$168</v>
      </c>
      <c r="F168" s="20"/>
      <c r="H168" s="269">
        <f t="shared" si="101"/>
        <v>0</v>
      </c>
      <c r="J168" s="269">
        <f t="shared" si="102"/>
        <v>0</v>
      </c>
      <c r="K168" s="269">
        <f>IF(J168=1,IF(AND($B$142="Yes",$B$143&gt;0),$B$143,0),0)</f>
        <v>0</v>
      </c>
      <c r="L168" s="269">
        <f>IF(K170&gt;0,0,K168)</f>
        <v>0</v>
      </c>
    </row>
    <row r="169" spans="3:12" ht="159.94999999999999" customHeight="1">
      <c r="C169" s="278" t="s">
        <v>751</v>
      </c>
      <c r="D169" s="269">
        <f t="shared" si="104"/>
        <v>23</v>
      </c>
      <c r="E169" s="101" t="str">
        <f t="shared" si="103"/>
        <v>Catalogue!$F$169</v>
      </c>
      <c r="F169" s="20"/>
      <c r="H169" s="269">
        <f t="shared" si="101"/>
        <v>0</v>
      </c>
      <c r="J169" s="269">
        <f t="shared" si="102"/>
        <v>0</v>
      </c>
      <c r="K169" s="269">
        <f>IF(J169=1,IF(AND($B$144="Yes",$B$145&gt;0),$B$145,0),0)</f>
        <v>0</v>
      </c>
      <c r="L169" s="269">
        <f>IF(K170&gt;0,0,K169)</f>
        <v>0</v>
      </c>
    </row>
    <row r="170" spans="3:12" ht="159.94999999999999" customHeight="1">
      <c r="C170" s="278" t="s">
        <v>751</v>
      </c>
      <c r="D170" s="269">
        <f t="shared" si="104"/>
        <v>24</v>
      </c>
      <c r="E170" s="101" t="str">
        <f t="shared" si="103"/>
        <v>Catalogue!$F$170</v>
      </c>
      <c r="F170" s="20"/>
      <c r="H170" s="269">
        <f t="shared" si="101"/>
        <v>0</v>
      </c>
      <c r="J170" s="269">
        <f t="shared" si="102"/>
        <v>0</v>
      </c>
      <c r="K170" s="269">
        <f>IF(J170=1,IF(AND($B$142="Yes",$B$143&gt;0),IF(AND($B$144="Yes",$B$145&gt;0),1,0),0),0)</f>
        <v>0</v>
      </c>
      <c r="L170" s="269">
        <f>IF(K170&gt;0,1,0)</f>
        <v>0</v>
      </c>
    </row>
    <row r="171" spans="3:12" ht="159.94999999999999" customHeight="1">
      <c r="C171" s="278" t="s">
        <v>753</v>
      </c>
      <c r="D171" s="269">
        <f t="shared" si="104"/>
        <v>25</v>
      </c>
      <c r="E171" s="101" t="str">
        <f t="shared" si="103"/>
        <v>Catalogue!$F$171</v>
      </c>
      <c r="F171" s="20"/>
      <c r="H171" s="269">
        <f t="shared" si="101"/>
        <v>0</v>
      </c>
      <c r="J171" s="269">
        <f t="shared" si="102"/>
        <v>0</v>
      </c>
      <c r="K171" s="269">
        <f>IF(J171=1,IF(AND($B$142="Yes",$B$143&gt;0),$B$143,0),0)</f>
        <v>0</v>
      </c>
      <c r="L171" s="269">
        <f>IF(K173&gt;0,0,K171)</f>
        <v>0</v>
      </c>
    </row>
    <row r="172" spans="3:12" ht="159.94999999999999" customHeight="1">
      <c r="C172" s="278" t="s">
        <v>753</v>
      </c>
      <c r="D172" s="269">
        <f t="shared" si="104"/>
        <v>26</v>
      </c>
      <c r="E172" s="101" t="str">
        <f t="shared" si="103"/>
        <v>Catalogue!$F$172</v>
      </c>
      <c r="F172" s="20"/>
      <c r="H172" s="269">
        <f t="shared" si="101"/>
        <v>0</v>
      </c>
      <c r="J172" s="269">
        <f t="shared" si="102"/>
        <v>0</v>
      </c>
      <c r="K172" s="269">
        <f>IF(J172=1,IF(AND($B$144="Yes",$B$145&gt;0),$B$145,0),0)</f>
        <v>0</v>
      </c>
      <c r="L172" s="269">
        <f>IF(K173&gt;0,0,K172)</f>
        <v>0</v>
      </c>
    </row>
    <row r="173" spans="3:12" ht="159.94999999999999" customHeight="1">
      <c r="C173" s="278" t="s">
        <v>753</v>
      </c>
      <c r="D173" s="269">
        <f t="shared" si="104"/>
        <v>27</v>
      </c>
      <c r="E173" s="101" t="str">
        <f t="shared" si="103"/>
        <v>Catalogue!$F$173</v>
      </c>
      <c r="F173" s="20"/>
      <c r="H173" s="269">
        <f t="shared" si="101"/>
        <v>0</v>
      </c>
      <c r="J173" s="269">
        <f t="shared" si="102"/>
        <v>0</v>
      </c>
      <c r="K173" s="269">
        <f>IF(J173=1,IF(AND($B$142="Yes",$B$143&gt;0),IF(AND($B$144="Yes",$B$145&gt;0),1,0),0),0)</f>
        <v>0</v>
      </c>
      <c r="L173" s="269">
        <f>IF(K173&gt;0,1,0)</f>
        <v>0</v>
      </c>
    </row>
    <row r="174" spans="3:12" ht="159.94999999999999" customHeight="1">
      <c r="C174" s="278" t="s">
        <v>754</v>
      </c>
      <c r="D174" s="269">
        <f t="shared" si="104"/>
        <v>28</v>
      </c>
      <c r="E174" s="101" t="str">
        <f t="shared" si="103"/>
        <v>Catalogue!$F$174</v>
      </c>
      <c r="F174" s="20"/>
      <c r="H174" s="269">
        <f t="shared" si="101"/>
        <v>0</v>
      </c>
      <c r="J174" s="269">
        <f t="shared" si="102"/>
        <v>0</v>
      </c>
      <c r="K174" s="269">
        <f>IF(J174=1,IF(AND($B$142="Yes",$B$143&gt;0),$B$143,0),0)</f>
        <v>0</v>
      </c>
      <c r="L174" s="269">
        <f>IF(K176&gt;0,0,K174)</f>
        <v>0</v>
      </c>
    </row>
    <row r="175" spans="3:12" ht="159.94999999999999" customHeight="1">
      <c r="C175" s="278" t="s">
        <v>754</v>
      </c>
      <c r="D175" s="269">
        <f t="shared" si="104"/>
        <v>29</v>
      </c>
      <c r="E175" s="101" t="str">
        <f t="shared" si="103"/>
        <v>Catalogue!$F$175</v>
      </c>
      <c r="F175" s="20"/>
      <c r="H175" s="269">
        <f t="shared" si="101"/>
        <v>0</v>
      </c>
      <c r="J175" s="269">
        <f t="shared" si="102"/>
        <v>0</v>
      </c>
      <c r="K175" s="269">
        <f>IF(J175=1,IF(AND($B$144="Yes",$B$145&gt;0),$B$145,0),0)</f>
        <v>0</v>
      </c>
      <c r="L175" s="269">
        <f>IF(K176&gt;0,0,K175)</f>
        <v>0</v>
      </c>
    </row>
    <row r="176" spans="3:12" ht="159.94999999999999" customHeight="1">
      <c r="C176" s="280" t="s">
        <v>754</v>
      </c>
      <c r="D176" s="269">
        <f t="shared" si="104"/>
        <v>30</v>
      </c>
      <c r="E176" s="101" t="str">
        <f t="shared" si="103"/>
        <v>Catalogue!$F$176</v>
      </c>
      <c r="F176" s="28"/>
      <c r="H176" s="270">
        <f t="shared" si="101"/>
        <v>0</v>
      </c>
      <c r="J176" s="270">
        <f t="shared" si="102"/>
        <v>0</v>
      </c>
      <c r="K176" s="270">
        <f>IF(J176=1,IF(AND($B$142="Yes",$B$143&gt;0),IF(AND($B$144="Yes",$B$145&gt;0),1,0),0),0)</f>
        <v>0</v>
      </c>
      <c r="L176" s="270">
        <f>IF(K176&gt;0,1,0)</f>
        <v>0</v>
      </c>
    </row>
    <row r="177" spans="3:12" ht="159.94999999999999" customHeight="1" thickBot="1">
      <c r="C177" s="280" t="s">
        <v>754</v>
      </c>
      <c r="D177" s="269">
        <f t="shared" si="104"/>
        <v>31</v>
      </c>
      <c r="E177" s="101" t="str">
        <f t="shared" si="103"/>
        <v>Catalogue!$F$177</v>
      </c>
      <c r="F177" s="28"/>
      <c r="H177" s="270">
        <f>IF(H179=0,31,0)</f>
        <v>0</v>
      </c>
      <c r="J177" s="270">
        <f t="shared" si="102"/>
        <v>0</v>
      </c>
      <c r="K177" s="270">
        <f>IF(J177=1,IF(AND($B$142="Yes",$B$143&gt;0),IF(AND($B$144="Yes",$B$145&gt;0),1,0),0),0)</f>
        <v>0</v>
      </c>
      <c r="L177" s="270">
        <f>IF(K177&gt;0,1,0)</f>
        <v>0</v>
      </c>
    </row>
    <row r="178" spans="3:12" ht="159.94999999999999" customHeight="1" thickBot="1">
      <c r="C178" s="281"/>
      <c r="D178" s="282"/>
      <c r="E178" s="282"/>
      <c r="F178" s="281"/>
      <c r="H178" s="282">
        <f>SUM(H141:H177)</f>
        <v>18</v>
      </c>
      <c r="J178" s="281"/>
      <c r="K178" s="281"/>
      <c r="L178" s="281"/>
    </row>
    <row r="179" spans="3:12" ht="159.94999999999999" customHeight="1">
      <c r="F179" s="120"/>
      <c r="H179" s="302">
        <f>SUM(H141:H176)</f>
        <v>18</v>
      </c>
    </row>
    <row r="180" spans="3:12" ht="159.94999999999999" customHeight="1"/>
    <row r="181" spans="3:12" ht="159.94999999999999" customHeight="1"/>
    <row r="182" spans="3:12" ht="159.94999999999999" customHeight="1"/>
    <row r="183" spans="3:12" ht="159.94999999999999" customHeight="1"/>
    <row r="184" spans="3:12" ht="159.94999999999999" customHeight="1"/>
    <row r="185" spans="3:12" ht="159.94999999999999" customHeight="1"/>
    <row r="186" spans="3:12" ht="159.94999999999999" customHeight="1"/>
    <row r="187" spans="3:12" ht="159.94999999999999" customHeight="1"/>
    <row r="188" spans="3:12" ht="159.94999999999999" customHeight="1"/>
    <row r="189" spans="3:12" ht="159.94999999999999" customHeight="1"/>
    <row r="190" spans="3:12" ht="159.94999999999999" customHeight="1"/>
    <row r="191" spans="3:12" ht="159.94999999999999" customHeight="1"/>
    <row r="192" spans="3:12" ht="159.94999999999999" customHeight="1"/>
    <row r="193" ht="159.94999999999999" customHeight="1"/>
    <row r="194" ht="159.94999999999999" customHeight="1"/>
    <row r="195" ht="159.94999999999999" customHeight="1"/>
    <row r="196" ht="159.94999999999999" customHeight="1"/>
    <row r="197" ht="159.94999999999999" customHeight="1"/>
    <row r="198" ht="159.94999999999999" customHeight="1"/>
    <row r="199" ht="159.94999999999999" customHeight="1"/>
    <row r="200" ht="159.94999999999999" customHeight="1"/>
    <row r="201" ht="159.94999999999999" customHeight="1"/>
    <row r="202" ht="159.94999999999999" customHeight="1"/>
  </sheetData>
  <customSheetViews>
    <customSheetView guid="{D8D7B009-33DC-454B-9FCD-4FE65C8432CF}" scale="90" showGridLines="0" state="hidden" topLeftCell="B1">
      <selection activeCell="C4" sqref="C4:C13"/>
      <pageMargins left="0.7" right="0.7" top="0.75" bottom="0.75" header="0.3" footer="0.3"/>
      <pageSetup paperSize="9" orientation="portrait" r:id="rId1"/>
    </customSheetView>
  </customSheetViews>
  <mergeCells count="3">
    <mergeCell ref="J69:K69"/>
    <mergeCell ref="F2:H2"/>
    <mergeCell ref="L2:N2"/>
  </mergeCell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2"/>
  <dimension ref="A1"/>
  <sheetViews>
    <sheetView workbookViewId="0">
      <selection activeCell="J118" sqref="J118:K118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8AD49-DE66-44F8-8FE3-E5F5241EE399}">
  <sheetPr codeName="Feuil6"/>
  <dimension ref="A1:X73"/>
  <sheetViews>
    <sheetView showGridLines="0" showZeros="0" tabSelected="1" zoomScale="80" zoomScaleNormal="80" workbookViewId="0">
      <selection activeCell="I10" sqref="I10:J10"/>
    </sheetView>
  </sheetViews>
  <sheetFormatPr baseColWidth="10" defaultRowHeight="15"/>
  <cols>
    <col min="1" max="1" width="26.7109375" customWidth="1"/>
    <col min="2" max="2" width="28.28515625" customWidth="1"/>
    <col min="3" max="3" width="36.7109375" customWidth="1"/>
    <col min="4" max="4" width="17.140625" customWidth="1"/>
    <col min="5" max="5" width="13" customWidth="1"/>
    <col min="6" max="6" width="89.5703125" customWidth="1"/>
    <col min="7" max="7" width="35.7109375" customWidth="1"/>
    <col min="8" max="8" width="16.42578125" customWidth="1"/>
    <col min="9" max="9" width="17.7109375" customWidth="1"/>
    <col min="10" max="10" width="20" customWidth="1"/>
    <col min="11" max="12" width="17.7109375" customWidth="1"/>
    <col min="13" max="13" width="25.85546875" customWidth="1"/>
    <col min="14" max="14" width="25.7109375" customWidth="1"/>
    <col min="15" max="15" width="24" customWidth="1"/>
  </cols>
  <sheetData>
    <row r="1" spans="1:24" s="2" customFormat="1" ht="58.5" customHeight="1">
      <c r="A1" s="231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3"/>
      <c r="P1" s="365"/>
      <c r="Q1"/>
      <c r="R1"/>
    </row>
    <row r="2" spans="1:24" s="2" customFormat="1" ht="6.75" customHeight="1">
      <c r="A2" s="365"/>
      <c r="B2"/>
      <c r="C2"/>
      <c r="D2"/>
      <c r="E2"/>
      <c r="F2"/>
      <c r="G2"/>
      <c r="H2"/>
      <c r="I2"/>
      <c r="J2"/>
      <c r="K2"/>
      <c r="L2"/>
      <c r="M2"/>
      <c r="N2"/>
      <c r="O2" s="366"/>
      <c r="P2" s="365"/>
      <c r="Q2"/>
      <c r="R2"/>
    </row>
    <row r="3" spans="1:24" s="2" customFormat="1" ht="23.25" customHeight="1">
      <c r="A3" s="234"/>
      <c r="B3" s="30"/>
      <c r="C3" s="30"/>
      <c r="D3" s="30"/>
      <c r="E3" s="30"/>
      <c r="F3" s="638" t="s">
        <v>1920</v>
      </c>
      <c r="G3" s="638"/>
      <c r="H3" s="638"/>
      <c r="O3" s="235"/>
    </row>
    <row r="4" spans="1:24" s="2" customFormat="1" ht="34.5" customHeight="1">
      <c r="F4" s="406" t="str">
        <f>Traduction!A9</f>
        <v>Définition tarifaire des Pergolas PERGOSOLAR</v>
      </c>
      <c r="G4" s="237"/>
      <c r="H4" s="3"/>
      <c r="I4" s="693"/>
      <c r="J4" s="693"/>
      <c r="O4" s="235"/>
    </row>
    <row r="5" spans="1:24" s="2" customFormat="1" ht="33.75" customHeight="1" thickBot="1">
      <c r="A5" s="236"/>
      <c r="F5" s="3"/>
      <c r="G5" s="3"/>
      <c r="H5" s="3"/>
      <c r="O5" s="235"/>
    </row>
    <row r="6" spans="1:24" s="2" customFormat="1" ht="34.5" customHeight="1" thickBot="1">
      <c r="A6" s="236"/>
      <c r="F6" s="90" t="str">
        <f>Traduction!A13</f>
        <v>Définir la quantité de commande</v>
      </c>
      <c r="G6" s="295">
        <v>1</v>
      </c>
      <c r="H6" s="3"/>
      <c r="O6" s="235"/>
    </row>
    <row r="7" spans="1:24" s="2" customFormat="1" ht="34.5" customHeight="1" thickBot="1">
      <c r="A7" s="236"/>
      <c r="F7" s="3"/>
      <c r="G7" s="3"/>
      <c r="H7" s="3"/>
      <c r="I7" s="593"/>
      <c r="J7" s="593"/>
      <c r="K7" s="593"/>
      <c r="O7" s="235"/>
    </row>
    <row r="8" spans="1:24" s="2" customFormat="1" ht="34.5" customHeight="1">
      <c r="A8" s="691" t="str">
        <f>Traduction!A399</f>
        <v>MODULE PV</v>
      </c>
      <c r="B8" s="692"/>
      <c r="F8" s="694" t="str">
        <f>Traduction!A394</f>
        <v>Dimensions du module PV</v>
      </c>
      <c r="G8" s="695"/>
      <c r="H8" s="3"/>
      <c r="I8" s="573"/>
      <c r="J8" s="573"/>
      <c r="K8" s="573"/>
      <c r="L8" s="573"/>
      <c r="O8" s="235"/>
    </row>
    <row r="9" spans="1:24" s="2" customFormat="1" ht="34.5" customHeight="1">
      <c r="F9" s="596" t="str">
        <f>Traduction!A395</f>
        <v>Longueur du module PV (mm)</v>
      </c>
      <c r="G9" s="597" t="s">
        <v>1517</v>
      </c>
      <c r="H9" s="62"/>
      <c r="I9" s="690"/>
      <c r="J9" s="690"/>
      <c r="K9" s="605"/>
      <c r="L9" s="573"/>
      <c r="O9" s="235"/>
    </row>
    <row r="10" spans="1:24" s="2" customFormat="1" ht="34.5" customHeight="1">
      <c r="F10" s="92" t="str">
        <f>Traduction!A396</f>
        <v>Largeur du module PV (mm)</v>
      </c>
      <c r="G10" s="298" t="s">
        <v>1519</v>
      </c>
      <c r="H10" s="62"/>
      <c r="I10" s="690"/>
      <c r="J10" s="690"/>
      <c r="K10" s="606"/>
      <c r="L10" s="573"/>
      <c r="O10" s="235"/>
    </row>
    <row r="11" spans="1:24" s="2" customFormat="1" ht="34.5" customHeight="1">
      <c r="F11" s="594" t="str">
        <f>Traduction!A397</f>
        <v>Epaisseur du module PV (mm)</v>
      </c>
      <c r="G11" s="598" t="s">
        <v>1515</v>
      </c>
      <c r="H11" s="62"/>
      <c r="I11" s="689"/>
      <c r="J11" s="689"/>
      <c r="K11" s="604"/>
      <c r="L11" s="573"/>
      <c r="O11" s="235"/>
    </row>
    <row r="12" spans="1:24" s="2" customFormat="1" ht="34.5" customHeight="1">
      <c r="F12" s="594" t="str">
        <f>Traduction!A18</f>
        <v>Définir la puissance du module</v>
      </c>
      <c r="G12" s="600">
        <v>300</v>
      </c>
      <c r="H12" s="62"/>
      <c r="I12" s="603"/>
      <c r="J12" s="603"/>
      <c r="K12" s="604"/>
      <c r="L12" s="573"/>
      <c r="O12" s="235"/>
    </row>
    <row r="13" spans="1:24" s="2" customFormat="1" ht="34.5" customHeight="1" thickBot="1">
      <c r="A13" s="238"/>
      <c r="F13" s="595" t="str">
        <f>Traduction!A398</f>
        <v>Modèle de PERGOSOLAR</v>
      </c>
      <c r="G13" s="599" t="str">
        <f>IF(AND(G9=Info!AA2,G10=Info!AB2),"PERGOSOLAR CONFORT",IF(AND(G9=Info!AA3,G10=Info!AB3),"PERGOSOLAR HARMONY","NON COMPATIBLE"))</f>
        <v>PERGOSOLAR HARMONY</v>
      </c>
      <c r="H13" s="62"/>
      <c r="O13" s="235"/>
    </row>
    <row r="14" spans="1:24" s="2" customFormat="1" ht="35.1" customHeight="1" thickBot="1">
      <c r="A14" s="236"/>
      <c r="G14" s="296"/>
      <c r="H14" s="432"/>
      <c r="J14" s="436" t="str">
        <f>G13</f>
        <v>PERGOSOLAR HARMONY</v>
      </c>
      <c r="K14" s="437" t="str">
        <f>G15</f>
        <v>3x3 4 Pieds</v>
      </c>
      <c r="L14" s="589" t="s">
        <v>718</v>
      </c>
      <c r="M14" s="589"/>
      <c r="N14" s="607" t="s">
        <v>719</v>
      </c>
      <c r="O14" s="590"/>
      <c r="T14" s="677"/>
      <c r="U14" s="677"/>
      <c r="V14" s="677"/>
      <c r="W14" s="677"/>
      <c r="X14" s="677"/>
    </row>
    <row r="15" spans="1:24" s="2" customFormat="1" ht="35.1" customHeight="1" thickBot="1">
      <c r="A15" s="691" t="s">
        <v>1526</v>
      </c>
      <c r="B15" s="692"/>
      <c r="F15" s="414" t="str">
        <f>Traduction!A14</f>
        <v>Selectionner votre format de toiture</v>
      </c>
      <c r="G15" s="297" t="s">
        <v>750</v>
      </c>
      <c r="H15" s="432">
        <f ca="1">INDIRECT(VLOOKUP($G$15,Catalogue!$C$4:$E$15,2,FALSE))</f>
        <v>0</v>
      </c>
      <c r="J15" s="438">
        <f>Info!M29</f>
        <v>9</v>
      </c>
      <c r="K15" s="439" t="s">
        <v>717</v>
      </c>
      <c r="L15" s="591">
        <f>Catalogue!J16</f>
        <v>4299</v>
      </c>
      <c r="M15" s="592">
        <f>Catalogue!K16</f>
        <v>2753</v>
      </c>
      <c r="O15" s="588"/>
      <c r="T15" s="677"/>
      <c r="U15" s="677"/>
      <c r="V15" s="677"/>
      <c r="W15" s="677"/>
      <c r="X15" s="677"/>
    </row>
    <row r="16" spans="1:24" s="2" customFormat="1" ht="35.1" customHeight="1" thickTop="1" thickBot="1">
      <c r="A16" s="236"/>
      <c r="F16" s="92" t="str">
        <f>Traduction!A111</f>
        <v>Choix couleur Standard RAL</v>
      </c>
      <c r="G16" s="298">
        <v>7016</v>
      </c>
      <c r="H16" s="431"/>
      <c r="I16" s="582"/>
      <c r="J16" s="587" t="str">
        <f>IF(G16=7016,"RAL7016","RAL9010")</f>
        <v>RAL7016</v>
      </c>
      <c r="K16" s="432"/>
      <c r="L16" s="432"/>
      <c r="O16" s="441"/>
    </row>
    <row r="17" spans="1:16" s="2" customFormat="1" ht="35.1" customHeight="1" thickTop="1">
      <c r="A17" s="236"/>
      <c r="F17" s="92" t="str">
        <f>Traduction!A15</f>
        <v>Nombre de paires de pieds par Pergola</v>
      </c>
      <c r="G17" s="361">
        <f>IF(G22="No",Info!D14,0)</f>
        <v>2</v>
      </c>
      <c r="H17" s="442">
        <f>G17*2</f>
        <v>4</v>
      </c>
      <c r="I17" s="443"/>
      <c r="J17" s="432"/>
      <c r="K17" s="432"/>
      <c r="L17" s="432"/>
      <c r="M17" s="440"/>
      <c r="N17" s="440"/>
      <c r="O17" s="235"/>
    </row>
    <row r="18" spans="1:16" s="2" customFormat="1" ht="35.1" customHeight="1">
      <c r="A18" s="236"/>
      <c r="B18" s="241"/>
      <c r="C18" s="241"/>
      <c r="F18" s="92" t="str">
        <f>Traduction!A16</f>
        <v>Nombre de paires d'équerres de fixation par Pergola</v>
      </c>
      <c r="G18" s="361">
        <f>Info!G14</f>
        <v>0</v>
      </c>
      <c r="H18" s="698">
        <f>G18*2</f>
        <v>0</v>
      </c>
      <c r="I18" s="699"/>
      <c r="J18" s="432"/>
      <c r="K18" s="432"/>
      <c r="L18" s="432"/>
      <c r="M18" s="440"/>
      <c r="N18" s="440"/>
      <c r="O18" s="441"/>
      <c r="P18" s="364"/>
    </row>
    <row r="19" spans="1:16" s="2" customFormat="1" ht="35.1" customHeight="1">
      <c r="A19" s="236"/>
      <c r="F19" s="92" t="str">
        <f>Traduction!A124</f>
        <v>Embases Pieds</v>
      </c>
      <c r="G19" s="361" t="s">
        <v>37</v>
      </c>
      <c r="H19" s="444"/>
      <c r="I19" s="432"/>
      <c r="J19" s="432"/>
      <c r="K19" s="432"/>
      <c r="L19" s="432"/>
      <c r="M19" s="446">
        <f>Catalogue!I16</f>
        <v>5676</v>
      </c>
      <c r="N19" s="445"/>
      <c r="O19" s="441"/>
    </row>
    <row r="20" spans="1:16" s="2" customFormat="1" ht="35.1" customHeight="1" thickBot="1">
      <c r="A20" s="236"/>
      <c r="F20" s="93" t="str">
        <f>Traduction!A492</f>
        <v>Option embases encastrées</v>
      </c>
      <c r="G20" s="299" t="s">
        <v>26</v>
      </c>
      <c r="H20" s="649"/>
      <c r="I20" s="432"/>
      <c r="J20" s="432"/>
      <c r="K20" s="432"/>
      <c r="L20" s="432"/>
      <c r="M20" s="446"/>
      <c r="N20" s="445"/>
      <c r="O20" s="441"/>
    </row>
    <row r="21" spans="1:16" s="2" customFormat="1" ht="35.1" customHeight="1" thickBot="1">
      <c r="A21" s="236"/>
      <c r="H21" s="432">
        <f ca="1">INDIRECT(VLOOKUP(Catalogue!E68,Catalogue!$E$18:$G$67,2,FALSE))</f>
        <v>0</v>
      </c>
      <c r="I21" s="432"/>
      <c r="J21" s="432"/>
      <c r="K21" s="432"/>
      <c r="L21" s="432"/>
      <c r="O21" s="235"/>
      <c r="P21" s="363"/>
    </row>
    <row r="22" spans="1:16" s="2" customFormat="1" ht="35.1" customHeight="1">
      <c r="A22" s="236"/>
      <c r="F22" s="414" t="str">
        <f>Traduction!A144</f>
        <v>Assemblage latéral (face aux modules à droite et à gauche )</v>
      </c>
      <c r="G22" s="297" t="s">
        <v>26</v>
      </c>
      <c r="H22" s="447"/>
      <c r="I22" s="434"/>
      <c r="K22" s="432"/>
      <c r="L22" s="432"/>
      <c r="O22" s="435"/>
    </row>
    <row r="23" spans="1:16" s="2" customFormat="1" ht="35.1" customHeight="1" thickBot="1">
      <c r="A23" s="236"/>
      <c r="F23" s="93" t="str">
        <f>Traduction!A162</f>
        <v>Nombre total de paires de pieds</v>
      </c>
      <c r="G23" s="294">
        <f>EVEN(H23)/2</f>
        <v>0</v>
      </c>
      <c r="H23" s="448">
        <f>Info!F14</f>
        <v>0</v>
      </c>
      <c r="J23" s="432"/>
      <c r="K23" s="432"/>
      <c r="L23" s="432"/>
      <c r="M23" s="432"/>
      <c r="N23" s="432"/>
      <c r="O23" s="435"/>
    </row>
    <row r="24" spans="1:16" s="2" customFormat="1" ht="35.1" customHeight="1">
      <c r="A24" s="236"/>
      <c r="F24" s="586" t="str">
        <f>Traduction!A222</f>
        <v>Assemblage en profondeur : nous consulter</v>
      </c>
      <c r="H24" s="432"/>
      <c r="K24" s="432"/>
      <c r="N24" s="432"/>
      <c r="O24" s="435"/>
    </row>
    <row r="25" spans="1:16" s="2" customFormat="1" ht="35.1" customHeight="1" thickBot="1">
      <c r="A25" s="236"/>
      <c r="H25" s="432">
        <f ca="1">INDIRECT(VLOOKUP(Catalogue!$K$68,Catalogue!$K$18:$L$67,2,FALSE))</f>
        <v>0</v>
      </c>
      <c r="I25" s="432"/>
      <c r="J25" s="432"/>
      <c r="K25" s="432"/>
      <c r="L25" s="587">
        <f>G27</f>
        <v>1</v>
      </c>
      <c r="M25" s="587" t="s">
        <v>487</v>
      </c>
      <c r="O25" s="435"/>
    </row>
    <row r="26" spans="1:16" s="2" customFormat="1" ht="35.1" customHeight="1" thickTop="1" thickBot="1">
      <c r="A26" s="236"/>
      <c r="F26" s="91" t="str">
        <f>Traduction!A126</f>
        <v>Option Bioclimatique</v>
      </c>
      <c r="G26" s="297" t="s">
        <v>26</v>
      </c>
      <c r="H26" s="449">
        <f>Info!K29</f>
        <v>0</v>
      </c>
      <c r="I26" s="432"/>
      <c r="J26" s="432"/>
      <c r="K26" s="432"/>
      <c r="L26" s="582"/>
      <c r="M26" s="587" t="str">
        <f>IF(G16=7016,"Couleur RAL7016 pour le contour","Couleur RAL9010 pour le contour")</f>
        <v>Couleur RAL7016 pour le contour</v>
      </c>
      <c r="O26" s="435"/>
    </row>
    <row r="27" spans="1:16" s="2" customFormat="1" ht="35.1" customHeight="1" thickTop="1" thickBot="1">
      <c r="A27" s="236"/>
      <c r="F27" s="93" t="str">
        <f>Traduction!A127</f>
        <v>Nombre de lignes option bioclimatique</v>
      </c>
      <c r="G27" s="299">
        <v>1</v>
      </c>
      <c r="H27" s="432"/>
      <c r="K27" s="432"/>
      <c r="L27" s="433"/>
      <c r="M27" s="587" t="s">
        <v>631</v>
      </c>
      <c r="N27" s="432"/>
      <c r="O27" s="435"/>
    </row>
    <row r="28" spans="1:16" s="2" customFormat="1" ht="22.5" customHeight="1" thickBot="1">
      <c r="A28" s="236"/>
      <c r="F28" s="77"/>
      <c r="G28" s="300"/>
      <c r="H28" s="431"/>
      <c r="I28" s="432"/>
      <c r="J28" s="432"/>
      <c r="K28" s="432"/>
      <c r="N28" s="432"/>
      <c r="O28" s="435"/>
    </row>
    <row r="29" spans="1:16" s="2" customFormat="1" ht="35.1" customHeight="1" thickBot="1">
      <c r="A29" s="236"/>
      <c r="B29" s="12"/>
      <c r="C29" s="12"/>
      <c r="F29" s="601" t="str">
        <f>Traduction!A131</f>
        <v>Nombre de lignes de panneaux photovoltaiques</v>
      </c>
      <c r="G29" s="602">
        <f>Info!J29</f>
        <v>3</v>
      </c>
      <c r="H29" s="432"/>
      <c r="I29" s="432"/>
      <c r="J29" s="432"/>
      <c r="K29" s="432"/>
      <c r="L29" s="587">
        <f>G29</f>
        <v>3</v>
      </c>
      <c r="M29" s="587" t="s">
        <v>488</v>
      </c>
      <c r="O29" s="435"/>
    </row>
    <row r="30" spans="1:16" s="2" customFormat="1" ht="35.1" customHeight="1" thickTop="1" thickBot="1">
      <c r="A30" s="236"/>
      <c r="B30" s="12"/>
      <c r="C30" s="12"/>
      <c r="F30" s="93" t="str">
        <f>Traduction!A20</f>
        <v>Puissance par pergola</v>
      </c>
      <c r="G30" s="373">
        <f>G12*J15</f>
        <v>2700</v>
      </c>
      <c r="H30" s="432"/>
      <c r="I30" s="432"/>
      <c r="J30" s="432"/>
      <c r="K30" s="432"/>
      <c r="L30" s="433"/>
      <c r="M30" s="587" t="str">
        <f>IF(G16=7016,"Couleur RAL7016","Couleur RAL9010")</f>
        <v>Couleur RAL7016</v>
      </c>
      <c r="O30" s="435"/>
    </row>
    <row r="31" spans="1:16" s="2" customFormat="1" ht="18.75" customHeight="1" thickBot="1">
      <c r="A31" s="236"/>
      <c r="F31" s="396"/>
      <c r="G31" s="296"/>
      <c r="H31" s="449">
        <f>H26</f>
        <v>0</v>
      </c>
      <c r="I31" s="432"/>
      <c r="J31" s="432"/>
      <c r="K31" s="432"/>
      <c r="O31" s="435"/>
    </row>
    <row r="32" spans="1:16" s="2" customFormat="1" ht="35.1" customHeight="1" thickBot="1">
      <c r="A32" s="236"/>
      <c r="F32" s="94" t="str">
        <f>Traduction!A130</f>
        <v>kit de déport des pieds + évacuation d'eau  (2 pieds maximum)</v>
      </c>
      <c r="G32" s="295" t="s">
        <v>26</v>
      </c>
      <c r="H32" s="431"/>
      <c r="I32" s="432"/>
      <c r="J32" s="432"/>
      <c r="K32" s="432"/>
      <c r="N32" s="450"/>
      <c r="O32" s="435"/>
    </row>
    <row r="33" spans="1:16" s="2" customFormat="1" ht="15" customHeight="1" thickBot="1">
      <c r="A33" s="236"/>
      <c r="G33" s="296"/>
      <c r="H33" s="432"/>
      <c r="I33" s="432"/>
      <c r="J33" s="432"/>
      <c r="K33" s="432"/>
      <c r="L33" s="432"/>
      <c r="M33" s="432"/>
      <c r="N33" s="432"/>
      <c r="O33" s="435"/>
    </row>
    <row r="34" spans="1:16" s="2" customFormat="1" ht="35.1" customHeight="1">
      <c r="A34" s="236"/>
      <c r="F34" s="575" t="str">
        <f>Traduction!A125</f>
        <v>Kit Led en ruban + ALIM+recepteur + telecommande inclus</v>
      </c>
      <c r="G34" s="297" t="s">
        <v>37</v>
      </c>
      <c r="H34" s="431"/>
      <c r="I34" s="432"/>
      <c r="J34" s="432"/>
      <c r="K34" s="432"/>
      <c r="L34" s="432"/>
      <c r="M34" s="432"/>
      <c r="N34" s="432"/>
      <c r="O34" s="435"/>
    </row>
    <row r="35" spans="1:16" s="2" customFormat="1" ht="35.1" customHeight="1">
      <c r="A35" s="236"/>
      <c r="F35" s="95" t="str">
        <f>Traduction!A300</f>
        <v>option kit Led : 4 spots  + ALIM + récepteur + télécommande</v>
      </c>
      <c r="G35" s="298" t="s">
        <v>26</v>
      </c>
      <c r="H35" s="432">
        <f ca="1">INDIRECT(VLOOKUP(Catalogue!$D$136,Catalogue!$D$71:$G$135,2,FALSE))</f>
        <v>0</v>
      </c>
      <c r="I35" s="432"/>
      <c r="J35" s="432"/>
      <c r="K35" s="432"/>
      <c r="L35" s="432"/>
      <c r="M35" s="432"/>
      <c r="N35" s="451" t="s">
        <v>510</v>
      </c>
      <c r="O35" s="435"/>
    </row>
    <row r="36" spans="1:16" s="2" customFormat="1" ht="35.1" customHeight="1">
      <c r="A36" s="236"/>
      <c r="F36" s="92" t="str">
        <f>Traduction!A133</f>
        <v>2 Spots supplémentaires</v>
      </c>
      <c r="G36" s="298">
        <v>0</v>
      </c>
      <c r="H36" s="447"/>
      <c r="I36" s="432"/>
      <c r="J36" s="432"/>
      <c r="K36" s="432"/>
      <c r="L36" s="432"/>
      <c r="M36" s="432"/>
      <c r="N36" s="451" t="s">
        <v>511</v>
      </c>
      <c r="O36" s="435"/>
    </row>
    <row r="37" spans="1:16" s="2" customFormat="1" ht="35.1" customHeight="1">
      <c r="A37" s="236"/>
      <c r="F37" s="95" t="str">
        <f>Traduction!A129</f>
        <v>kit de fixation de sous face</v>
      </c>
      <c r="G37" s="298" t="s">
        <v>26</v>
      </c>
      <c r="H37" s="447"/>
      <c r="I37" s="432"/>
      <c r="J37" s="432"/>
      <c r="K37" s="432"/>
      <c r="L37" s="432"/>
      <c r="M37" s="432"/>
      <c r="N37" s="432"/>
      <c r="O37" s="435"/>
    </row>
    <row r="38" spans="1:16" s="2" customFormat="1" ht="35.1" customHeight="1" thickBot="1">
      <c r="A38" s="236"/>
      <c r="F38" s="96" t="str">
        <f>Traduction!A61</f>
        <v>Option sous-face</v>
      </c>
      <c r="G38" s="299" t="s">
        <v>26</v>
      </c>
      <c r="H38" s="273"/>
      <c r="O38" s="235"/>
    </row>
    <row r="39" spans="1:16" s="2" customFormat="1" ht="17.25" customHeight="1" thickBot="1">
      <c r="A39" s="236"/>
      <c r="F39" s="569"/>
      <c r="I39" s="240"/>
      <c r="J39" s="240"/>
      <c r="L39" s="303">
        <f>IF(G40="Yes",G41,0)</f>
        <v>1</v>
      </c>
      <c r="M39" s="304" t="str">
        <f>IF(G40="Yes",Traduction!A138,"")</f>
        <v>Screen(s) latéral(aux)</v>
      </c>
      <c r="O39" s="235"/>
    </row>
    <row r="40" spans="1:16" s="2" customFormat="1" ht="35.1" customHeight="1">
      <c r="A40" s="236"/>
      <c r="F40" s="414" t="str">
        <f>Traduction!A134</f>
        <v>Option Screen latéral*</v>
      </c>
      <c r="G40" s="297" t="s">
        <v>37</v>
      </c>
      <c r="H40" s="2">
        <f ca="1">INDIRECT(VLOOKUP(Catalogue!H178,Catalogue!$D$140:$F$177,2,FALSE))</f>
        <v>0</v>
      </c>
      <c r="M40" s="697">
        <f>IF(G40="Yes",IF(G13="PERGOSOLAR CONFORT",Info!Q29,IF(G13="PERGOSOLAR HARMONY",Info!W29,"")),"")</f>
        <v>3997</v>
      </c>
      <c r="N40" s="697"/>
      <c r="O40" s="367"/>
      <c r="P40" s="12"/>
    </row>
    <row r="41" spans="1:16" s="2" customFormat="1" ht="35.1" customHeight="1">
      <c r="A41" s="236"/>
      <c r="F41" s="92" t="str">
        <f>Traduction!A136</f>
        <v>Nombre de Screen latéral</v>
      </c>
      <c r="G41" s="298">
        <v>1</v>
      </c>
      <c r="H41" s="273"/>
      <c r="L41" s="303">
        <f>IF(G42="Yes",G43,0)</f>
        <v>1</v>
      </c>
      <c r="M41" s="304" t="str">
        <f>IF(G42="Yes",Traduction!A139,0)</f>
        <v>Screen(s) avant ou arrière</v>
      </c>
      <c r="O41" s="235"/>
      <c r="P41" s="12"/>
    </row>
    <row r="42" spans="1:16" s="2" customFormat="1" ht="35.1" customHeight="1">
      <c r="A42" s="236"/>
      <c r="F42" s="95" t="str">
        <f>Traduction!A135</f>
        <v>Option Screen avant ou arrièrre*</v>
      </c>
      <c r="G42" s="298" t="s">
        <v>37</v>
      </c>
      <c r="H42" s="99"/>
      <c r="M42" s="697">
        <f>IF(G42="Yes",IF(G13="PERGOSOLAR CONFORT",Info!R29,IF(G13="PERGOSOLAR HARMONY",Info!X29,"")),"")</f>
        <v>5374</v>
      </c>
      <c r="N42" s="697"/>
      <c r="O42" s="367"/>
      <c r="P42" s="12"/>
    </row>
    <row r="43" spans="1:16" s="2" customFormat="1" ht="35.1" customHeight="1" thickBot="1">
      <c r="A43" s="236"/>
      <c r="F43" s="93" t="str">
        <f>Traduction!A137</f>
        <v>Nombre de Screen avant ou arrièrre</v>
      </c>
      <c r="G43" s="299">
        <v>1</v>
      </c>
      <c r="H43" s="304">
        <f>IF(G22="No",IF(G43&gt;2,"ATTENTION Qté NOK",0),0)</f>
        <v>0</v>
      </c>
      <c r="L43" s="656"/>
      <c r="M43" s="656"/>
      <c r="N43" s="656"/>
      <c r="O43" s="657"/>
    </row>
    <row r="44" spans="1:16" s="2" customFormat="1" ht="18.75" customHeight="1" thickBot="1">
      <c r="A44" s="236"/>
      <c r="F44" s="569"/>
      <c r="G44" s="323"/>
      <c r="L44" s="656"/>
      <c r="M44" s="656"/>
      <c r="N44" s="656"/>
      <c r="O44" s="657"/>
    </row>
    <row r="45" spans="1:16" s="2" customFormat="1" ht="35.1" customHeight="1">
      <c r="A45" s="236"/>
      <c r="F45" s="414" t="str">
        <f>Traduction!A379</f>
        <v>Option Claustra Fixe</v>
      </c>
      <c r="G45" s="297" t="s">
        <v>26</v>
      </c>
      <c r="I45" s="680" t="str">
        <f>Traduction!A494</f>
        <v>* SCREEN ATTENTION : La notion de "latéral" ou "avant/arrière" s'applique pour une pose classique de la pergola soit sur ilot, soit accolée à la façade avec les lignes photovoltaïques et bioclimatiques parallèles à la façade d'accueil, et sans jumelage.
Dans les autres cas : pergola accolée à la façade avec ses lignes de toiture perpendiculaires à la façade d'accueil, ou avec jumelage, MERCI DE CONTACTER NOTRE SERVICE TECHNICO-COMMERCIAL AFIN DE DETERMINER LES REFERENCES DE STORES ADEQUATES.</v>
      </c>
      <c r="J45" s="681"/>
      <c r="K45" s="681"/>
      <c r="L45" s="681"/>
      <c r="M45" s="681"/>
      <c r="N45" s="682"/>
      <c r="O45" s="657"/>
    </row>
    <row r="46" spans="1:16" s="2" customFormat="1" ht="35.1" customHeight="1">
      <c r="A46" s="236"/>
      <c r="F46" s="92" t="str">
        <f>Traduction!A381</f>
        <v>Longueur du claustra</v>
      </c>
      <c r="G46" s="298" t="s">
        <v>1414</v>
      </c>
      <c r="H46" s="637"/>
      <c r="I46" s="683"/>
      <c r="J46" s="684"/>
      <c r="K46" s="684"/>
      <c r="L46" s="684"/>
      <c r="M46" s="684"/>
      <c r="N46" s="685"/>
      <c r="O46" s="235"/>
    </row>
    <row r="47" spans="1:16" s="2" customFormat="1" ht="35.1" customHeight="1" thickBot="1">
      <c r="A47" s="236"/>
      <c r="F47" s="92" t="str">
        <f>Traduction!A382</f>
        <v>Nombre de claustras</v>
      </c>
      <c r="G47" s="298">
        <v>1</v>
      </c>
      <c r="I47" s="686"/>
      <c r="J47" s="687"/>
      <c r="K47" s="687"/>
      <c r="L47" s="687"/>
      <c r="M47" s="687"/>
      <c r="N47" s="688"/>
      <c r="O47" s="235"/>
    </row>
    <row r="48" spans="1:16" s="2" customFormat="1" ht="35.1" customHeight="1">
      <c r="A48" s="236"/>
      <c r="F48" s="95" t="str">
        <f>Traduction!A380</f>
        <v>Option Claustra Coulissant</v>
      </c>
      <c r="G48" s="298" t="s">
        <v>26</v>
      </c>
      <c r="H48" s="637"/>
      <c r="O48" s="235"/>
    </row>
    <row r="49" spans="1:15" s="2" customFormat="1" ht="35.1" customHeight="1">
      <c r="A49" s="236"/>
      <c r="F49" s="92" t="str">
        <f>Traduction!A381</f>
        <v>Longueur du claustra</v>
      </c>
      <c r="G49" s="298" t="s">
        <v>1415</v>
      </c>
      <c r="O49" s="235"/>
    </row>
    <row r="50" spans="1:15" s="2" customFormat="1" ht="35.1" customHeight="1" thickBot="1">
      <c r="A50" s="236"/>
      <c r="F50" s="93" t="str">
        <f>Traduction!A382</f>
        <v>Nombre de claustras</v>
      </c>
      <c r="G50" s="299">
        <v>1</v>
      </c>
      <c r="O50" s="235"/>
    </row>
    <row r="51" spans="1:15" s="2" customFormat="1" ht="19.5" customHeight="1" thickBot="1">
      <c r="A51" s="236"/>
      <c r="F51" s="323"/>
      <c r="G51" s="323"/>
      <c r="O51" s="235"/>
    </row>
    <row r="52" spans="1:15" s="2" customFormat="1" ht="34.5" customHeight="1" thickBot="1">
      <c r="A52" s="236"/>
      <c r="F52" s="94" t="str">
        <f>Traduction!A366</f>
        <v>Option DAISY Wifi - pilotage par Smartphone</v>
      </c>
      <c r="G52" s="295" t="s">
        <v>26</v>
      </c>
      <c r="O52" s="235"/>
    </row>
    <row r="53" spans="1:15" s="2" customFormat="1" ht="18.75" customHeight="1" thickBot="1">
      <c r="A53" s="236"/>
      <c r="F53" s="323"/>
      <c r="G53" s="323"/>
      <c r="O53" s="235"/>
    </row>
    <row r="54" spans="1:15" s="2" customFormat="1" ht="35.1" customHeight="1">
      <c r="A54" s="236"/>
      <c r="F54" s="572" t="str">
        <f>Traduction!A208</f>
        <v xml:space="preserve">Livraison sur chantier </v>
      </c>
      <c r="G54" s="297" t="s">
        <v>26</v>
      </c>
      <c r="O54" s="235"/>
    </row>
    <row r="55" spans="1:15" s="2" customFormat="1" ht="12" customHeight="1">
      <c r="A55" s="236"/>
      <c r="F55" s="700" t="str">
        <f>Traduction!A388</f>
        <v>(disponible uniquement en France continentale, Belgique et Luxembourg)</v>
      </c>
      <c r="G55" s="701"/>
      <c r="O55" s="235"/>
    </row>
    <row r="56" spans="1:15" s="2" customFormat="1" ht="35.1" customHeight="1" thickBot="1">
      <c r="A56" s="236"/>
      <c r="F56" s="93" t="str">
        <f>Traduction!A389</f>
        <v>Lieu de livraison :</v>
      </c>
      <c r="G56" s="583" t="s">
        <v>1424</v>
      </c>
      <c r="O56" s="235"/>
    </row>
    <row r="57" spans="1:15" s="2" customFormat="1" ht="35.1" customHeight="1">
      <c r="A57" s="236"/>
      <c r="O57" s="235"/>
    </row>
    <row r="58" spans="1:15" s="2" customFormat="1" ht="35.1" customHeight="1">
      <c r="A58" s="691" t="str">
        <f>Traduction!A400</f>
        <v>VERIFICATION MECANIQUE</v>
      </c>
      <c r="B58" s="692"/>
      <c r="O58" s="235"/>
    </row>
    <row r="59" spans="1:15" s="2" customFormat="1" ht="35.1" customHeight="1">
      <c r="C59" s="368"/>
      <c r="F59" s="323"/>
      <c r="G59" s="323"/>
      <c r="O59" s="235"/>
    </row>
    <row r="60" spans="1:15" s="2" customFormat="1" ht="35.1" customHeight="1">
      <c r="A60" s="702" t="str">
        <f>Traduction!A216</f>
        <v>Catégorie 0 : 
mer ou zone côtière exposée aux vents de mer.</v>
      </c>
      <c r="C60" s="368"/>
      <c r="D60" s="679" t="str">
        <f>Traduction!A217</f>
        <v>Catégorie I : 
lac ou zone à végétation négligeable et libre de tout obstacle.</v>
      </c>
      <c r="E60" s="679"/>
      <c r="J60" s="229" t="s">
        <v>622</v>
      </c>
      <c r="L60" s="360" t="str">
        <f>Traduction!A66</f>
        <v xml:space="preserve">Altitude (m) : </v>
      </c>
      <c r="M60" s="395">
        <v>800</v>
      </c>
      <c r="O60" s="235"/>
    </row>
    <row r="61" spans="1:15" s="2" customFormat="1" ht="35.1" customHeight="1">
      <c r="A61" s="702"/>
      <c r="D61" s="679"/>
      <c r="E61" s="679"/>
      <c r="J61" s="229" t="s">
        <v>623</v>
      </c>
      <c r="L61" s="360" t="str">
        <f>Traduction!A67</f>
        <v xml:space="preserve">Catégorie de terrain : </v>
      </c>
      <c r="M61" s="301" t="s">
        <v>533</v>
      </c>
      <c r="O61" s="235"/>
    </row>
    <row r="62" spans="1:15" s="2" customFormat="1" ht="35.1" customHeight="1">
      <c r="A62" s="702"/>
      <c r="D62" s="679"/>
      <c r="E62" s="679"/>
      <c r="J62" s="229" t="s">
        <v>624</v>
      </c>
      <c r="O62" s="235"/>
    </row>
    <row r="63" spans="1:15" s="2" customFormat="1" ht="35.1" customHeight="1">
      <c r="A63" s="585"/>
      <c r="B63" s="239"/>
      <c r="C63" s="239"/>
      <c r="D63" s="584"/>
      <c r="E63" s="584"/>
      <c r="J63" s="229" t="s">
        <v>625</v>
      </c>
      <c r="L63" s="360" t="str">
        <f>Traduction!A68</f>
        <v xml:space="preserve">Zone de neige : </v>
      </c>
      <c r="M63" s="301" t="s">
        <v>572</v>
      </c>
      <c r="O63" s="235"/>
    </row>
    <row r="64" spans="1:15" s="2" customFormat="1" ht="35.1" customHeight="1">
      <c r="A64" s="696" t="str">
        <f>Traduction!A218</f>
        <v>Catégorie II : 
zone à végétation basse telle que de l’herbe, avec ou non quelques obstacles isolés (arbres, bâtiments) séparés les uns des autres d'au moins 20 fois leur hauteur.</v>
      </c>
      <c r="B64" s="239"/>
      <c r="C64" s="239"/>
      <c r="D64" s="678" t="str">
        <f>Traduction!A219</f>
        <v>Catégorie III : 
zone avec une couverture végétale régulière ou des bâtiments, ou avec des obstacles isolés séparés d'au plus 20 fois leur hauteur.</v>
      </c>
      <c r="E64" s="678"/>
      <c r="J64" s="229" t="s">
        <v>626</v>
      </c>
      <c r="L64" s="360" t="str">
        <f>Traduction!A70</f>
        <v xml:space="preserve">Pression de neige (Pa) : </v>
      </c>
      <c r="M64" s="357"/>
      <c r="O64" s="235"/>
    </row>
    <row r="65" spans="1:16" s="2" customFormat="1" ht="35.1" customHeight="1">
      <c r="A65" s="696"/>
      <c r="B65" s="239"/>
      <c r="C65" s="239"/>
      <c r="D65" s="678"/>
      <c r="E65" s="678"/>
      <c r="J65" s="229" t="s">
        <v>627</v>
      </c>
      <c r="O65" s="235"/>
    </row>
    <row r="66" spans="1:16" s="2" customFormat="1" ht="35.1" customHeight="1">
      <c r="A66" s="696"/>
      <c r="D66" s="678"/>
      <c r="E66" s="678"/>
      <c r="J66" s="229" t="s">
        <v>628</v>
      </c>
      <c r="L66" s="360" t="str">
        <f>Traduction!A69</f>
        <v xml:space="preserve">Zone de vent : </v>
      </c>
      <c r="M66" s="301">
        <v>36</v>
      </c>
      <c r="O66" s="235"/>
    </row>
    <row r="67" spans="1:16" s="2" customFormat="1" ht="35.1" customHeight="1">
      <c r="A67" s="696"/>
      <c r="B67" s="239"/>
      <c r="C67" s="405"/>
      <c r="D67" s="678"/>
      <c r="E67" s="678"/>
      <c r="J67" s="229" t="s">
        <v>629</v>
      </c>
      <c r="L67" s="360" t="str">
        <f>Traduction!A71</f>
        <v xml:space="preserve">Pression du vent (Pa) : </v>
      </c>
      <c r="M67" s="357"/>
      <c r="O67" s="235"/>
    </row>
    <row r="68" spans="1:16" s="2" customFormat="1" ht="83.25" customHeight="1">
      <c r="A68" s="696"/>
      <c r="B68" s="239"/>
      <c r="C68" s="405" t="str">
        <f>Traduction!A220</f>
        <v>Catégorie IV : 
zone dont au moins 15 % de la surface sont recouverts de bâtiments, dont la hauteur moyenne est supérieure à 15 m.</v>
      </c>
      <c r="D68" s="239"/>
      <c r="E68" s="239"/>
      <c r="J68" s="229"/>
      <c r="O68" s="235"/>
    </row>
    <row r="69" spans="1:16" s="2" customFormat="1" ht="35.1" customHeight="1">
      <c r="A69" s="236"/>
      <c r="B69" s="239"/>
      <c r="C69" s="405"/>
      <c r="D69" s="239"/>
      <c r="E69" s="239"/>
      <c r="F69" s="241"/>
      <c r="J69" s="229"/>
      <c r="L69" s="331" t="s">
        <v>692</v>
      </c>
      <c r="M69" s="332" t="str">
        <f>G15</f>
        <v>3x3 4 Pieds</v>
      </c>
      <c r="O69" s="235"/>
    </row>
    <row r="70" spans="1:16" s="2" customFormat="1" ht="35.1" customHeight="1">
      <c r="A70" s="236"/>
      <c r="B70" s="239"/>
      <c r="C70" s="397"/>
      <c r="D70" s="239"/>
      <c r="E70" s="239"/>
      <c r="F70" s="241"/>
      <c r="L70" s="359" t="str">
        <f>Traduction!A73</f>
        <v xml:space="preserve">Charges ascendantes : </v>
      </c>
      <c r="M70" s="332">
        <f>Info!T65</f>
        <v>1232.28</v>
      </c>
      <c r="N70" s="242" t="str">
        <f>Info!AC73</f>
        <v>Charges OK</v>
      </c>
      <c r="O70" s="235"/>
    </row>
    <row r="71" spans="1:16" s="2" customFormat="1" ht="35.1" customHeight="1">
      <c r="F71" s="241"/>
      <c r="K71" s="56"/>
      <c r="L71" s="359" t="str">
        <f>Traduction!A72</f>
        <v xml:space="preserve">Charges descendantes : </v>
      </c>
      <c r="M71" s="332">
        <f>Info!T67</f>
        <v>1119.9999999999998</v>
      </c>
      <c r="N71" s="242" t="str">
        <f>Info!AC74</f>
        <v>Charges OK</v>
      </c>
      <c r="O71" s="235"/>
    </row>
    <row r="72" spans="1:16" s="2" customFormat="1" ht="35.1" customHeight="1">
      <c r="A72"/>
      <c r="B72"/>
      <c r="C72"/>
      <c r="D72"/>
      <c r="E72"/>
      <c r="F72" s="241"/>
      <c r="J72" s="229"/>
      <c r="K72" s="56"/>
      <c r="M72" s="369">
        <f>IF(Info!AI88=1,Traduction!A75,0)</f>
        <v>0</v>
      </c>
      <c r="O72" s="235"/>
    </row>
    <row r="73" spans="1:16" s="2" customFormat="1" ht="24.95" customHeight="1" thickBot="1">
      <c r="A73" s="243"/>
      <c r="B73" s="244"/>
      <c r="C73" s="244"/>
      <c r="D73" s="244"/>
      <c r="E73" s="244"/>
      <c r="F73" s="17"/>
      <c r="G73" s="17"/>
      <c r="H73" s="245"/>
      <c r="I73" s="17"/>
      <c r="J73" s="17"/>
      <c r="K73" s="17"/>
      <c r="L73" s="17"/>
      <c r="M73" s="17"/>
      <c r="N73" s="17"/>
      <c r="O73" s="246"/>
      <c r="P73" s="236"/>
    </row>
  </sheetData>
  <sheetProtection algorithmName="SHA-512" hashValue="UZfytxp+hR1ZDUHkCpMcHOqkmIZy+xW/V6rxFjiQE/Z5LEss+pxDHqzBwpZd0gVf7zUv7MT3m+Ze8uXZL+YhmA==" saltValue="/Yc2V0v5g2CAJR/LYsEqyQ==" spinCount="100000" sheet="1" objects="1" scenarios="1"/>
  <mergeCells count="22">
    <mergeCell ref="A64:A68"/>
    <mergeCell ref="M42:N42"/>
    <mergeCell ref="W14:W15"/>
    <mergeCell ref="M40:N40"/>
    <mergeCell ref="H18:I18"/>
    <mergeCell ref="F55:G55"/>
    <mergeCell ref="A58:B58"/>
    <mergeCell ref="A60:A62"/>
    <mergeCell ref="I11:J11"/>
    <mergeCell ref="I9:J9"/>
    <mergeCell ref="A15:B15"/>
    <mergeCell ref="I4:J4"/>
    <mergeCell ref="I10:J10"/>
    <mergeCell ref="A8:B8"/>
    <mergeCell ref="F8:G8"/>
    <mergeCell ref="X14:X15"/>
    <mergeCell ref="T14:T15"/>
    <mergeCell ref="U14:U15"/>
    <mergeCell ref="V14:V15"/>
    <mergeCell ref="D64:E67"/>
    <mergeCell ref="D60:E62"/>
    <mergeCell ref="I45:N47"/>
  </mergeCells>
  <conditionalFormatting sqref="F27:G27">
    <cfRule type="expression" dxfId="79" priority="31">
      <formula>F26="No"</formula>
    </cfRule>
  </conditionalFormatting>
  <conditionalFormatting sqref="H16">
    <cfRule type="expression" dxfId="78" priority="30">
      <formula>"f11=""7016"""</formula>
    </cfRule>
  </conditionalFormatting>
  <conditionalFormatting sqref="L30">
    <cfRule type="expression" dxfId="77" priority="28">
      <formula>$G$16=7016</formula>
    </cfRule>
  </conditionalFormatting>
  <conditionalFormatting sqref="M61">
    <cfRule type="expression" dxfId="76" priority="27">
      <formula>#REF!="No"</formula>
    </cfRule>
  </conditionalFormatting>
  <conditionalFormatting sqref="G18">
    <cfRule type="expression" dxfId="75" priority="26">
      <formula>$G$16=2</formula>
    </cfRule>
  </conditionalFormatting>
  <conditionalFormatting sqref="G17">
    <cfRule type="expression" dxfId="74" priority="33">
      <formula>$G$21="Yes"</formula>
    </cfRule>
  </conditionalFormatting>
  <conditionalFormatting sqref="G36">
    <cfRule type="expression" dxfId="73" priority="25">
      <formula>$G$35="No"</formula>
    </cfRule>
  </conditionalFormatting>
  <conditionalFormatting sqref="G43">
    <cfRule type="expression" dxfId="72" priority="24">
      <formula>$G$42="No"</formula>
    </cfRule>
  </conditionalFormatting>
  <conditionalFormatting sqref="G41">
    <cfRule type="expression" dxfId="71" priority="23">
      <formula>$G$40="No"</formula>
    </cfRule>
  </conditionalFormatting>
  <conditionalFormatting sqref="G38">
    <cfRule type="expression" dxfId="70" priority="15">
      <formula>$G$37="No"</formula>
    </cfRule>
  </conditionalFormatting>
  <conditionalFormatting sqref="N70">
    <cfRule type="expression" dxfId="69" priority="19">
      <formula>$N$70="Charges trop importantes"</formula>
    </cfRule>
    <cfRule type="expression" dxfId="68" priority="21">
      <formula>$N$70="Charges OK"</formula>
    </cfRule>
  </conditionalFormatting>
  <conditionalFormatting sqref="N71">
    <cfRule type="expression" dxfId="67" priority="18">
      <formula>$N$71="Charges trop importantes"</formula>
    </cfRule>
    <cfRule type="expression" dxfId="66" priority="20">
      <formula>$N$71="Charges OK"</formula>
    </cfRule>
  </conditionalFormatting>
  <conditionalFormatting sqref="H43">
    <cfRule type="expression" dxfId="65" priority="14">
      <formula>$H$42&gt;0</formula>
    </cfRule>
  </conditionalFormatting>
  <conditionalFormatting sqref="M63">
    <cfRule type="expression" dxfId="64" priority="34">
      <formula>$M$67&gt;0</formula>
    </cfRule>
    <cfRule type="expression" dxfId="63" priority="35">
      <formula>$M$64&gt;0</formula>
    </cfRule>
  </conditionalFormatting>
  <conditionalFormatting sqref="M66">
    <cfRule type="expression" dxfId="62" priority="36">
      <formula>$M$64&gt;0</formula>
    </cfRule>
    <cfRule type="expression" dxfId="61" priority="37">
      <formula>$M$67&gt;0</formula>
    </cfRule>
  </conditionalFormatting>
  <conditionalFormatting sqref="G35">
    <cfRule type="expression" dxfId="60" priority="13">
      <formula>$G$29&lt;2</formula>
    </cfRule>
  </conditionalFormatting>
  <conditionalFormatting sqref="G46:G47">
    <cfRule type="expression" dxfId="59" priority="12">
      <formula>$G$45="No"</formula>
    </cfRule>
  </conditionalFormatting>
  <conditionalFormatting sqref="G49:G50">
    <cfRule type="expression" dxfId="58" priority="11">
      <formula>$G$48="No"</formula>
    </cfRule>
  </conditionalFormatting>
  <conditionalFormatting sqref="G56">
    <cfRule type="expression" dxfId="57" priority="10">
      <formula>$G$54="No"</formula>
    </cfRule>
  </conditionalFormatting>
  <conditionalFormatting sqref="I16">
    <cfRule type="expression" dxfId="56" priority="6">
      <formula>$G$16=7016</formula>
    </cfRule>
  </conditionalFormatting>
  <conditionalFormatting sqref="L26">
    <cfRule type="expression" dxfId="55" priority="7">
      <formula>$G$16=7016</formula>
    </cfRule>
  </conditionalFormatting>
  <conditionalFormatting sqref="G37:G38">
    <cfRule type="expression" dxfId="54" priority="22">
      <formula>$G$29=0</formula>
    </cfRule>
  </conditionalFormatting>
  <conditionalFormatting sqref="F30">
    <cfRule type="expression" dxfId="53" priority="5">
      <formula>F29="No"</formula>
    </cfRule>
  </conditionalFormatting>
  <conditionalFormatting sqref="G40:G43">
    <cfRule type="expression" dxfId="52" priority="4">
      <formula>$G$13="PERGOSOLAR+$39:$39 HARMONY"</formula>
    </cfRule>
  </conditionalFormatting>
  <conditionalFormatting sqref="G19">
    <cfRule type="expression" dxfId="51" priority="2">
      <formula>$G$16=2</formula>
    </cfRule>
  </conditionalFormatting>
  <conditionalFormatting sqref="G20">
    <cfRule type="expression" dxfId="50" priority="1">
      <formula>$G$29&lt;2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00000000-0002-0000-0200-00000E000000}">
          <x14:formula1>
            <xm:f>Info!$Y$2:$Y$3</xm:f>
          </x14:formula1>
          <xm:sqref>G56</xm:sqref>
        </x14:dataValidation>
        <x14:dataValidation type="list" allowBlank="1" showInputMessage="1" showErrorMessage="1" xr:uid="{00000000-0002-0000-0200-00000D000000}">
          <x14:formula1>
            <xm:f>Info!$W$2:$W$5</xm:f>
          </x14:formula1>
          <xm:sqref>G47 G50</xm:sqref>
        </x14:dataValidation>
        <x14:dataValidation type="list" allowBlank="1" showInputMessage="1" showErrorMessage="1" xr:uid="{00000000-0002-0000-0200-00000C000000}">
          <x14:formula1>
            <xm:f>Info!$X$2:$X$3</xm:f>
          </x14:formula1>
          <xm:sqref>G46 G49</xm:sqref>
        </x14:dataValidation>
        <x14:dataValidation type="list" allowBlank="1" showInputMessage="1" showErrorMessage="1" xr:uid="{00000000-0002-0000-0200-00000B000000}">
          <x14:formula1>
            <xm:f>Info!$H$2:$H$7</xm:f>
          </x14:formula1>
          <xm:sqref>G27</xm:sqref>
        </x14:dataValidation>
        <x14:dataValidation type="list" allowBlank="1" showInputMessage="1" showErrorMessage="1" xr:uid="{00000000-0002-0000-0200-000008000000}">
          <x14:formula1>
            <xm:f>Info!$P$2:$P$4</xm:f>
          </x14:formula1>
          <xm:sqref>G36</xm:sqref>
        </x14:dataValidation>
        <x14:dataValidation type="list" allowBlank="1" showInputMessage="1" showErrorMessage="1" xr:uid="{00000000-0002-0000-0200-000007000000}">
          <x14:formula1>
            <xm:f>Info!$B$38:$B$42</xm:f>
          </x14:formula1>
          <xm:sqref>G41</xm:sqref>
        </x14:dataValidation>
        <x14:dataValidation type="list" allowBlank="1" showInputMessage="1" showErrorMessage="1" xr:uid="{00000000-0002-0000-0200-000006000000}">
          <x14:formula1>
            <xm:f>Info!$C$38:$C$47</xm:f>
          </x14:formula1>
          <xm:sqref>G43</xm:sqref>
        </x14:dataValidation>
        <x14:dataValidation type="list" allowBlank="1" showInputMessage="1" showErrorMessage="1" xr:uid="{00000000-0002-0000-0200-000005000000}">
          <x14:formula1>
            <xm:f>Info!$L$2:$L$3</xm:f>
          </x14:formula1>
          <xm:sqref>G26 G42 G40 G37:G38 G32 G22 G48 G60 G34:G35 G45 G52:G54 G20</xm:sqref>
        </x14:dataValidation>
        <x14:dataValidation type="list" allowBlank="1" showInputMessage="1" showErrorMessage="1" xr:uid="{00000000-0002-0000-0200-000004000000}">
          <x14:formula1>
            <xm:f>Info!$N$3:$N$4</xm:f>
          </x14:formula1>
          <xm:sqref>G16</xm:sqref>
        </x14:dataValidation>
        <x14:dataValidation type="list" allowBlank="1" showInputMessage="1" showErrorMessage="1" xr:uid="{00000000-0002-0000-0200-000003000000}">
          <x14:formula1>
            <xm:f>Info!$B$51:$B$55</xm:f>
          </x14:formula1>
          <xm:sqref>M61</xm:sqref>
        </x14:dataValidation>
        <x14:dataValidation type="list" allowBlank="1" showInputMessage="1" showErrorMessage="1" xr:uid="{00000000-0002-0000-0200-000002000000}">
          <x14:formula1>
            <xm:f>Info!$AA$58:$AA$65</xm:f>
          </x14:formula1>
          <xm:sqref>M63</xm:sqref>
        </x14:dataValidation>
        <x14:dataValidation type="list" allowBlank="1" showInputMessage="1" showErrorMessage="1" xr:uid="{00000000-0002-0000-0200-000001000000}">
          <x14:formula1>
            <xm:f>Info!$A$51:$A$58</xm:f>
          </x14:formula1>
          <xm:sqref>M66</xm:sqref>
        </x14:dataValidation>
        <x14:dataValidation type="list" allowBlank="1" showInputMessage="1" showErrorMessage="1" xr:uid="{00000000-0002-0000-0200-000000000000}">
          <x14:formula1>
            <xm:f>Info!$C$2:$C$13</xm:f>
          </x14:formula1>
          <xm:sqref>G15</xm:sqref>
        </x14:dataValidation>
        <x14:dataValidation type="list" allowBlank="1" showInputMessage="1" showErrorMessage="1" xr:uid="{857CACAE-E483-4330-A5EB-1A745A61BD7A}">
          <x14:formula1>
            <xm:f>Info!$AA$2:$AA$3</xm:f>
          </x14:formula1>
          <xm:sqref>G9</xm:sqref>
        </x14:dataValidation>
        <x14:dataValidation type="list" allowBlank="1" showInputMessage="1" showErrorMessage="1" xr:uid="{9EA1DFC6-910E-44FC-9D83-40553D2FA21D}">
          <x14:formula1>
            <xm:f>Info!$AB$2:$AB$3</xm:f>
          </x14:formula1>
          <xm:sqref>G10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N90"/>
  <sheetViews>
    <sheetView showGridLines="0" showZeros="0" zoomScale="70" zoomScaleNormal="70" zoomScaleSheetLayoutView="55" workbookViewId="0">
      <selection activeCell="B75" sqref="B75"/>
    </sheetView>
  </sheetViews>
  <sheetFormatPr baseColWidth="10" defaultColWidth="11.42578125" defaultRowHeight="15"/>
  <cols>
    <col min="1" max="1" width="21.42578125" style="2" customWidth="1"/>
    <col min="2" max="2" width="28.7109375" style="2" customWidth="1"/>
    <col min="3" max="3" width="36.7109375" style="2" customWidth="1"/>
    <col min="4" max="4" width="17.140625" style="2" customWidth="1"/>
    <col min="5" max="5" width="13" style="2" customWidth="1"/>
    <col min="6" max="6" width="68.42578125" style="2" customWidth="1"/>
    <col min="7" max="7" width="21.140625" style="2" customWidth="1"/>
    <col min="8" max="8" width="16.42578125" style="2" customWidth="1"/>
    <col min="9" max="9" width="15.7109375" style="2" customWidth="1"/>
    <col min="10" max="10" width="24" style="2" customWidth="1"/>
    <col min="11" max="12" width="11.42578125" style="2"/>
    <col min="13" max="13" width="17" style="2" customWidth="1"/>
    <col min="14" max="17" width="11.42578125" style="2"/>
    <col min="18" max="23" width="15.7109375" style="2" customWidth="1"/>
    <col min="24" max="30" width="11.42578125" style="2"/>
    <col min="31" max="31" width="11.42578125" style="2" customWidth="1"/>
    <col min="32" max="16384" width="11.42578125" style="2"/>
  </cols>
  <sheetData>
    <row r="1" spans="1:13" ht="58.5" customHeight="1">
      <c r="A1" s="691" t="str">
        <f>Traduction!A392</f>
        <v>NOMENCLATURE PERGOSOLAR CONFORT</v>
      </c>
      <c r="B1" s="692"/>
      <c r="C1" s="692"/>
      <c r="D1" s="692"/>
      <c r="E1" s="692"/>
      <c r="F1" s="692"/>
      <c r="G1" s="692"/>
      <c r="H1" s="692"/>
      <c r="I1" s="692"/>
      <c r="K1" s="383"/>
      <c r="L1" s="408"/>
      <c r="M1" s="408"/>
    </row>
    <row r="2" spans="1:13">
      <c r="A2" s="2" t="str">
        <f>'Définition PERGOSOLAR'!F3</f>
        <v>Version 3.3</v>
      </c>
    </row>
    <row r="4" spans="1:13" ht="35.1" customHeight="1" thickBot="1">
      <c r="A4" s="616" t="str">
        <f>Traduction!A11</f>
        <v>Les indications tarifaires ci-dessous n'incluent ni les modules, ni les fixations au sol et au mur</v>
      </c>
      <c r="F4" s="58"/>
      <c r="K4" s="383"/>
      <c r="L4" s="77"/>
    </row>
    <row r="5" spans="1:13" ht="30" customHeight="1" thickBot="1">
      <c r="A5" s="703" t="str">
        <f>Traduction!A29</f>
        <v>Nomenclature IRFTS</v>
      </c>
      <c r="B5" s="704"/>
      <c r="C5" s="704"/>
      <c r="D5" s="704"/>
      <c r="E5" s="704"/>
      <c r="F5" s="704"/>
      <c r="G5" s="704"/>
      <c r="H5" s="704"/>
      <c r="I5" s="705"/>
      <c r="K5" s="383"/>
      <c r="L5" s="77"/>
    </row>
    <row r="6" spans="1:13" s="368" customFormat="1" ht="63.75" customHeight="1" thickBot="1">
      <c r="A6" s="401" t="str">
        <f>Traduction!A31</f>
        <v>Référence</v>
      </c>
      <c r="B6" s="401" t="str">
        <f>Traduction!A32</f>
        <v>Référence distributeur</v>
      </c>
      <c r="C6" s="401" t="str">
        <f>Traduction!A37</f>
        <v>Désignation</v>
      </c>
      <c r="D6" s="404" t="str">
        <f>Traduction!A35</f>
        <v>Dimensions colis</v>
      </c>
      <c r="E6" s="402" t="str">
        <f>Traduction!A36</f>
        <v>Poids (Kg)</v>
      </c>
      <c r="F6" s="402" t="str">
        <f>Traduction!A33</f>
        <v>Description produit</v>
      </c>
      <c r="G6" s="403" t="str">
        <f>Traduction!A39</f>
        <v>Qté /Pergola</v>
      </c>
      <c r="H6" s="403" t="str">
        <f>Traduction!A143</f>
        <v>Complément</v>
      </c>
      <c r="I6" s="403" t="str">
        <f>Traduction!A38</f>
        <v>Qté Totale</v>
      </c>
      <c r="K6" s="383"/>
      <c r="L6" s="77"/>
      <c r="M6" s="577"/>
    </row>
    <row r="7" spans="1:13" ht="39.950000000000003" customHeight="1">
      <c r="A7" s="617" t="s">
        <v>403</v>
      </c>
      <c r="B7" s="377"/>
      <c r="C7" s="423" t="str">
        <f>Traduction!A224</f>
        <v>PG STRUCTURE 2x2 7016 MAT</v>
      </c>
      <c r="D7" s="378" t="s">
        <v>771</v>
      </c>
      <c r="E7" s="398">
        <v>155</v>
      </c>
      <c r="F7" s="423" t="str">
        <f>Traduction!A275</f>
        <v>kit structure pour une pergola 2x2
couleur  : 7016 Mat</v>
      </c>
      <c r="G7" s="378">
        <f>IF('Définition PERGOSOLAR'!G16=7016,IF('Définition PERGOSOLAR'!G$15="2x2 2 Pieds",1,IF('Définition PERGOSOLAR'!G15="2x2 4 Pieds",1,0)),0)</f>
        <v>0</v>
      </c>
      <c r="H7" s="650"/>
      <c r="I7" s="855">
        <f>G7*'Définition PERGOSOLAR'!$G$6+H7</f>
        <v>0</v>
      </c>
      <c r="K7" s="546"/>
      <c r="L7" s="77"/>
      <c r="M7" s="578"/>
    </row>
    <row r="8" spans="1:13" ht="39.950000000000003" customHeight="1">
      <c r="A8" s="617" t="s">
        <v>405</v>
      </c>
      <c r="B8" s="377"/>
      <c r="C8" s="423" t="str">
        <f>Traduction!A225</f>
        <v>PG STRUCTURE 2x2 9010 BRILLANT</v>
      </c>
      <c r="D8" s="378" t="s">
        <v>771</v>
      </c>
      <c r="E8" s="398">
        <v>155</v>
      </c>
      <c r="F8" s="423" t="str">
        <f>Traduction!A276</f>
        <v>kit structure pour une pergola 2x2
couleur  : 9010 brillant</v>
      </c>
      <c r="G8" s="378">
        <f>IF('Définition PERGOSOLAR'!G16=9010,IF('Définition PERGOSOLAR'!G$15="2x2 2 Pieds",1,IF('Définition PERGOSOLAR'!G15="2x2 4 Pieds",1,0)),0)</f>
        <v>0</v>
      </c>
      <c r="H8" s="650"/>
      <c r="I8" s="855">
        <f>G8*'Définition PERGOSOLAR'!$G$6+H8</f>
        <v>0</v>
      </c>
      <c r="K8" s="546"/>
      <c r="L8" s="77"/>
      <c r="M8" s="578"/>
    </row>
    <row r="9" spans="1:13" ht="39.950000000000003" customHeight="1">
      <c r="A9" s="617" t="s">
        <v>1735</v>
      </c>
      <c r="B9" s="377"/>
      <c r="C9" s="423" t="str">
        <f>Traduction!A226</f>
        <v>PG STRUCTURE 2x3 7016 MAT</v>
      </c>
      <c r="D9" s="378" t="s">
        <v>772</v>
      </c>
      <c r="E9" s="398">
        <v>167</v>
      </c>
      <c r="F9" s="423" t="str">
        <f>Traduction!A277</f>
        <v>kit structure pour une pergola 2x3
couleur  : 7016 Mat</v>
      </c>
      <c r="G9" s="378">
        <f>IF('Définition PERGOSOLAR'!G16=7016,IF('Définition PERGOSOLAR'!G$15="2x3 2 Pieds",1,IF('Définition PERGOSOLAR'!G15="2x3 4 Pieds",1,0)),0)</f>
        <v>0</v>
      </c>
      <c r="H9" s="650"/>
      <c r="I9" s="855">
        <f>G9*'Définition PERGOSOLAR'!$G$6+H9</f>
        <v>0</v>
      </c>
      <c r="K9" s="546"/>
      <c r="L9" s="77"/>
      <c r="M9" s="578"/>
    </row>
    <row r="10" spans="1:13" ht="39.950000000000003" customHeight="1">
      <c r="A10" s="617" t="s">
        <v>1467</v>
      </c>
      <c r="B10" s="377"/>
      <c r="C10" s="423" t="str">
        <f>Traduction!A227</f>
        <v>PG STRUCTURE 2x3 9010 BRILLANT</v>
      </c>
      <c r="D10" s="378" t="s">
        <v>1704</v>
      </c>
      <c r="E10" s="398">
        <v>250</v>
      </c>
      <c r="F10" s="423" t="str">
        <f>Traduction!A278</f>
        <v>kit structure pour une pergola 2x3
couleur  : 9010 brillant</v>
      </c>
      <c r="G10" s="378">
        <f>IF('Définition PERGOSOLAR'!G16=9010,IF('Définition PERGOSOLAR'!G$15="2x3 2 Pieds",1,IF('Définition PERGOSOLAR'!G15="2x3 4 Pieds",1,0)),0)</f>
        <v>0</v>
      </c>
      <c r="H10" s="650"/>
      <c r="I10" s="855">
        <f>G10*'Définition PERGOSOLAR'!$G$6+H10</f>
        <v>0</v>
      </c>
      <c r="K10" s="546"/>
      <c r="L10" s="77"/>
      <c r="M10" s="578"/>
    </row>
    <row r="11" spans="1:13" ht="39.950000000000003" customHeight="1">
      <c r="A11" s="617" t="s">
        <v>1468</v>
      </c>
      <c r="B11" s="377"/>
      <c r="C11" s="423" t="str">
        <f>Traduction!A329</f>
        <v>PG STRUCTURE 3x2 7016 MAT</v>
      </c>
      <c r="D11" s="378" t="s">
        <v>1704</v>
      </c>
      <c r="E11" s="398">
        <v>220</v>
      </c>
      <c r="F11" s="423" t="str">
        <f>Traduction!A331</f>
        <v>kit structure pour une pergola 3x2
couleur  : 7016 Mat</v>
      </c>
      <c r="G11" s="378">
        <f>IF('Définition PERGOSOLAR'!G16=7016,IF('Définition PERGOSOLAR'!G$15="3x2 2 Pieds",1,IF('Définition PERGOSOLAR'!G15="3x2 4 Pieds",1,0)),0)</f>
        <v>0</v>
      </c>
      <c r="H11" s="650"/>
      <c r="I11" s="855">
        <f>G11*'Définition PERGOSOLAR'!$G$6+H11</f>
        <v>0</v>
      </c>
      <c r="K11" s="546"/>
      <c r="L11" s="77"/>
      <c r="M11" s="578"/>
    </row>
    <row r="12" spans="1:13" ht="39.950000000000003" customHeight="1">
      <c r="A12" s="617" t="s">
        <v>1007</v>
      </c>
      <c r="B12" s="377"/>
      <c r="C12" s="423" t="str">
        <f>Traduction!A330</f>
        <v xml:space="preserve">PG STRUCTURE 3x2 9010 </v>
      </c>
      <c r="D12" s="378" t="s">
        <v>1011</v>
      </c>
      <c r="E12" s="398">
        <v>170</v>
      </c>
      <c r="F12" s="423" t="str">
        <f>Traduction!A332</f>
        <v>kit structure pour une pergola 3x2
couleur  : 9010 brillant</v>
      </c>
      <c r="G12" s="378">
        <f>IF('Définition PERGOSOLAR'!G16=9010,IF('Définition PERGOSOLAR'!G$15="3x2 2 Pieds",1,IF('Définition PERGOSOLAR'!G15="3x2 4 Pieds",1,0)),0)</f>
        <v>0</v>
      </c>
      <c r="H12" s="650"/>
      <c r="I12" s="855">
        <f>G12*'Définition PERGOSOLAR'!$G$6+H12</f>
        <v>0</v>
      </c>
      <c r="K12" s="546"/>
      <c r="L12" s="77"/>
      <c r="M12" s="578"/>
    </row>
    <row r="13" spans="1:13" ht="39.950000000000003" customHeight="1">
      <c r="A13" s="617" t="s">
        <v>409</v>
      </c>
      <c r="B13" s="377"/>
      <c r="C13" s="423" t="str">
        <f>Traduction!A228</f>
        <v>PG STRUCTURE 3x3 7016 MAT</v>
      </c>
      <c r="D13" s="378" t="s">
        <v>773</v>
      </c>
      <c r="E13" s="398">
        <v>208</v>
      </c>
      <c r="F13" s="423" t="str">
        <f>Traduction!A279</f>
        <v>kit structure pour une pergola 3x3
couleur  : 7016 Mat</v>
      </c>
      <c r="G13" s="378">
        <f>IF('Définition PERGOSOLAR'!G16=7016,IF('Définition PERGOSOLAR'!G$15="3x3 2 Pieds",1,IF('Définition PERGOSOLAR'!G15="3x3 4 Pieds",1,0)),0)</f>
        <v>1</v>
      </c>
      <c r="H13" s="650"/>
      <c r="I13" s="855">
        <f>G13*'Définition PERGOSOLAR'!$G$6+H13</f>
        <v>1</v>
      </c>
      <c r="K13" s="546"/>
      <c r="L13" s="77"/>
      <c r="M13" s="578"/>
    </row>
    <row r="14" spans="1:13" ht="39.950000000000003" customHeight="1">
      <c r="A14" s="617" t="s">
        <v>1469</v>
      </c>
      <c r="B14" s="377"/>
      <c r="C14" s="423" t="str">
        <f>Traduction!A229</f>
        <v>PG STRUCTURE 3x3 9010 BRILLANT</v>
      </c>
      <c r="D14" s="378" t="s">
        <v>1704</v>
      </c>
      <c r="E14" s="398">
        <v>280</v>
      </c>
      <c r="F14" s="423" t="str">
        <f>Traduction!A280</f>
        <v>kit structure pour une pergola 3x3
couleur  : 9010 brillant</v>
      </c>
      <c r="G14" s="378">
        <f>IF('Définition PERGOSOLAR'!G16=9010,IF('Définition PERGOSOLAR'!G$15="3x3 2 Pieds",1,IF('Définition PERGOSOLAR'!G15="3x3 4 Pieds",1,0)),0)</f>
        <v>0</v>
      </c>
      <c r="H14" s="650"/>
      <c r="I14" s="855">
        <f>G14*'Définition PERGOSOLAR'!$G$6+H14</f>
        <v>0</v>
      </c>
      <c r="K14" s="546"/>
      <c r="L14" s="77"/>
      <c r="M14" s="578"/>
    </row>
    <row r="15" spans="1:13" ht="39.950000000000003" customHeight="1">
      <c r="A15" s="617" t="s">
        <v>1470</v>
      </c>
      <c r="B15" s="377"/>
      <c r="C15" s="423" t="str">
        <f>Traduction!A230</f>
        <v>PG STRUCTURE 4x2 7016 MAT</v>
      </c>
      <c r="D15" s="378" t="s">
        <v>1704</v>
      </c>
      <c r="E15" s="398">
        <v>275</v>
      </c>
      <c r="F15" s="423" t="str">
        <f>Traduction!A281</f>
        <v>kit structure pour une pergola 4x2
couleur  : 7016 Mat</v>
      </c>
      <c r="G15" s="378">
        <f>IF('Définition PERGOSOLAR'!G16=7016,IF('Définition PERGOSOLAR'!G$15="4x2 2 Pieds",1,IF('Définition PERGOSOLAR'!G15="4x2 4 Pieds",1,0)),0)</f>
        <v>0</v>
      </c>
      <c r="H15" s="650"/>
      <c r="I15" s="855">
        <f>G15*'Définition PERGOSOLAR'!$G$6+H15</f>
        <v>0</v>
      </c>
      <c r="K15" s="546"/>
      <c r="L15" s="77"/>
      <c r="M15" s="578"/>
    </row>
    <row r="16" spans="1:13" ht="39.950000000000003" customHeight="1">
      <c r="A16" s="617" t="s">
        <v>1471</v>
      </c>
      <c r="B16" s="377"/>
      <c r="C16" s="423" t="str">
        <f>Traduction!A231</f>
        <v>PG STRUCTURE 4x2 9010 BRILLANT</v>
      </c>
      <c r="D16" s="378" t="s">
        <v>1704</v>
      </c>
      <c r="E16" s="398">
        <v>275</v>
      </c>
      <c r="F16" s="423" t="str">
        <f>Traduction!A282</f>
        <v>kit structure pour une pergola 4x2
couleur  : 9010 brillant</v>
      </c>
      <c r="G16" s="378">
        <f>IF('Définition PERGOSOLAR'!G16=9010,IF('Définition PERGOSOLAR'!G$15="4x2 2 Pieds",1,IF('Définition PERGOSOLAR'!G15="4x2 4 Pieds",1,0)),0)</f>
        <v>0</v>
      </c>
      <c r="H16" s="650"/>
      <c r="I16" s="855">
        <f>G16*'Définition PERGOSOLAR'!$G$6+H16</f>
        <v>0</v>
      </c>
      <c r="K16" s="546"/>
      <c r="L16" s="77"/>
      <c r="M16" s="578"/>
    </row>
    <row r="17" spans="1:14" ht="39.950000000000003" customHeight="1">
      <c r="A17" s="617" t="s">
        <v>414</v>
      </c>
      <c r="B17" s="377"/>
      <c r="C17" s="423" t="str">
        <f>Traduction!A232</f>
        <v>PG STRUCTURE 4x3 7016 MAT</v>
      </c>
      <c r="D17" s="378" t="s">
        <v>773</v>
      </c>
      <c r="E17" s="398">
        <v>227</v>
      </c>
      <c r="F17" s="423" t="str">
        <f>Traduction!A283</f>
        <v>kit structure pour une pergola 4x3
couleur  : 7016 Mat</v>
      </c>
      <c r="G17" s="378">
        <f>IF('Définition PERGOSOLAR'!G16=7016,IF('Définition PERGOSOLAR'!G$15="4x3 2 Pieds",1,IF('Définition PERGOSOLAR'!G15="4x3 4 Pieds",1,0)),0)</f>
        <v>0</v>
      </c>
      <c r="H17" s="650"/>
      <c r="I17" s="855">
        <f>G17*'Définition PERGOSOLAR'!$G$6+H17</f>
        <v>0</v>
      </c>
      <c r="K17" s="546"/>
      <c r="L17" s="77"/>
      <c r="M17" s="578"/>
    </row>
    <row r="18" spans="1:14" ht="39.950000000000003" customHeight="1">
      <c r="A18" s="617" t="s">
        <v>416</v>
      </c>
      <c r="B18" s="377"/>
      <c r="C18" s="423" t="str">
        <f>Traduction!A233</f>
        <v>PG STRUCTURE 4x3 9010 BRILLANT</v>
      </c>
      <c r="D18" s="378" t="s">
        <v>773</v>
      </c>
      <c r="E18" s="398">
        <v>227</v>
      </c>
      <c r="F18" s="423" t="str">
        <f>Traduction!A284</f>
        <v>kit structure pour une pergola 4x3
couleur  : 9010 brillant</v>
      </c>
      <c r="G18" s="378">
        <f>IF('Définition PERGOSOLAR'!G16=9010,IF('Définition PERGOSOLAR'!G$15="4x3 2 Pieds",1,IF('Définition PERGOSOLAR'!G15="4x3 4 Pieds",1,0)),0)</f>
        <v>0</v>
      </c>
      <c r="H18" s="650"/>
      <c r="I18" s="855">
        <f>G18*'Définition PERGOSOLAR'!$G$6+H18</f>
        <v>0</v>
      </c>
      <c r="K18" s="546"/>
      <c r="L18" s="77"/>
      <c r="M18" s="578"/>
    </row>
    <row r="19" spans="1:14" ht="39.950000000000003" customHeight="1">
      <c r="A19" s="376" t="s">
        <v>418</v>
      </c>
      <c r="B19" s="377"/>
      <c r="C19" s="423" t="str">
        <f>Traduction!A234</f>
        <v>KIT ACTIONNEUR 2500N 155MM</v>
      </c>
      <c r="D19" s="378" t="s">
        <v>802</v>
      </c>
      <c r="E19" s="398">
        <v>3.25</v>
      </c>
      <c r="F19" s="423" t="str">
        <f>Traduction!A285</f>
        <v>Actionneur 2500N + alimentation + récepteur+Vérin</v>
      </c>
      <c r="G19" s="378">
        <f>IF('Définition PERGOSOLAR'!G26="yes",'Définition PERGOSOLAR'!G27,0)</f>
        <v>0</v>
      </c>
      <c r="H19" s="650"/>
      <c r="I19" s="855">
        <f>G19*'Définition PERGOSOLAR'!$G$6+H19</f>
        <v>0</v>
      </c>
      <c r="K19" s="383"/>
      <c r="L19" s="77"/>
    </row>
    <row r="20" spans="1:14" ht="50.1" customHeight="1">
      <c r="A20" s="617" t="s">
        <v>1472</v>
      </c>
      <c r="B20" s="377"/>
      <c r="C20" s="423" t="str">
        <f>Traduction!A235</f>
        <v>PG KIT BIO 1x2 7016 MAT</v>
      </c>
      <c r="D20" s="378" t="s">
        <v>1705</v>
      </c>
      <c r="E20" s="398">
        <v>130</v>
      </c>
      <c r="F20" s="423" t="str">
        <f>Traduction!A286</f>
        <v>kit de 5 lames  = "1 ligne" , pour une pergola de 2 modules de large
Lames  : Blanches 9010 mat
Autres pièces en gris 7016 Mat</v>
      </c>
      <c r="G20" s="378">
        <f>IF('Définition PERGOSOLAR'!$G$26="yes",IF('Définition PERGOSOLAR'!$G$16=7016,IF(Info!$U$46=1,'Définition PERGOSOLAR'!$G$27,0),0),0)</f>
        <v>0</v>
      </c>
      <c r="H20" s="650"/>
      <c r="I20" s="855">
        <f>G20*'Définition PERGOSOLAR'!$G$6+H20</f>
        <v>0</v>
      </c>
      <c r="K20" s="383"/>
      <c r="L20" s="77"/>
      <c r="M20" s="394"/>
      <c r="N20" s="77"/>
    </row>
    <row r="21" spans="1:14" ht="50.1" customHeight="1">
      <c r="A21" s="617" t="s">
        <v>1473</v>
      </c>
      <c r="B21" s="377"/>
      <c r="C21" s="423" t="str">
        <f>Traduction!A236</f>
        <v>PG KIT BIO 1x2 9010 BRILLANT</v>
      </c>
      <c r="D21" s="378" t="s">
        <v>1705</v>
      </c>
      <c r="E21" s="398">
        <v>130</v>
      </c>
      <c r="F21" s="423" t="str">
        <f>Traduction!A287</f>
        <v>kit de 5 lames  = "1 lignes" , pour une pergola de 2 modules de large
Lames  : Blanches 9010 brillant
Autres pièces en ral 9010 Brillant</v>
      </c>
      <c r="G21" s="378">
        <f>IF('Définition PERGOSOLAR'!$G$26="yes",IF('Définition PERGOSOLAR'!$G$16=9010,IF(Info!$U$46=1,'Définition PERGOSOLAR'!$G$27,0),0),0)</f>
        <v>0</v>
      </c>
      <c r="H21" s="650"/>
      <c r="I21" s="855">
        <f>G21*'Définition PERGOSOLAR'!$G$6+H21</f>
        <v>0</v>
      </c>
      <c r="K21" s="383"/>
      <c r="L21" s="77"/>
    </row>
    <row r="22" spans="1:14" ht="50.1" customHeight="1">
      <c r="A22" s="617" t="s">
        <v>419</v>
      </c>
      <c r="B22" s="377"/>
      <c r="C22" s="423" t="str">
        <f>Traduction!A237</f>
        <v>PG KIT BIO 1x3 7016 MAT</v>
      </c>
      <c r="D22" s="378" t="s">
        <v>755</v>
      </c>
      <c r="E22" s="398">
        <v>110</v>
      </c>
      <c r="F22" s="423" t="str">
        <f>Traduction!A288</f>
        <v>kit de 5 lames  = "1 ligne" , pour une pergola de 3 modules de large
Lames  : Blanches 7016 mat
Autres pièces en ral gris 7016 Mat</v>
      </c>
      <c r="G22" s="378">
        <f>IF('Définition PERGOSOLAR'!$G$26="yes",IF('Définition PERGOSOLAR'!$G$16=7016,IF(Info!$V$46=1,'Définition PERGOSOLAR'!$G$27,0),0),0)</f>
        <v>0</v>
      </c>
      <c r="H22" s="650"/>
      <c r="I22" s="855">
        <f>G22*'Définition PERGOSOLAR'!$G$6+H22</f>
        <v>0</v>
      </c>
      <c r="K22" s="383"/>
      <c r="L22" s="77"/>
    </row>
    <row r="23" spans="1:14" ht="50.1" customHeight="1">
      <c r="A23" s="617" t="s">
        <v>1474</v>
      </c>
      <c r="B23" s="377"/>
      <c r="C23" s="423" t="str">
        <f>Traduction!A238</f>
        <v>PG KIT BIO 1x3 9010 BRILLANT</v>
      </c>
      <c r="D23" s="378" t="s">
        <v>1706</v>
      </c>
      <c r="E23" s="398">
        <v>170</v>
      </c>
      <c r="F23" s="423" t="str">
        <f>Traduction!A289</f>
        <v>kit de 5 lames  = "1 ligne" , pour une pergola de 3 modules de large
Lames  : Blanches 9010 brillant
Autres pièces en ral  9010 Brillant</v>
      </c>
      <c r="G23" s="378">
        <f>IF('Définition PERGOSOLAR'!$G$26="yes",IF('Définition PERGOSOLAR'!$G$16=9010,IF(Info!$V$46=1,'Définition PERGOSOLAR'!$G$27,0),0),0)</f>
        <v>0</v>
      </c>
      <c r="H23" s="650"/>
      <c r="I23" s="855">
        <f>G23*'Définition PERGOSOLAR'!$G$6+H23</f>
        <v>0</v>
      </c>
      <c r="K23" s="383"/>
      <c r="L23" s="77"/>
    </row>
    <row r="24" spans="1:14" ht="39.950000000000003" customHeight="1">
      <c r="A24" s="376" t="s">
        <v>420</v>
      </c>
      <c r="B24" s="377"/>
      <c r="C24" s="423" t="str">
        <f>Traduction!A239</f>
        <v>PG 2 PIEDS 2400 7016 MAT</v>
      </c>
      <c r="D24" s="378" t="s">
        <v>1710</v>
      </c>
      <c r="E24" s="398">
        <v>32</v>
      </c>
      <c r="F24" s="423" t="str">
        <f>Traduction!A290</f>
        <v>2 pieds de 2400 mm de long, en Ral  7016 Mat</v>
      </c>
      <c r="G24" s="378">
        <f>IF('Définition PERGOSOLAR'!G16=7016,IF('Définition PERGOSOLAR'!G22="Yes",'Définition PERGOSOLAR'!G23,'Définition PERGOSOLAR'!G17),0)</f>
        <v>2</v>
      </c>
      <c r="H24" s="650"/>
      <c r="I24" s="855">
        <f>IF('Définition PERGOSOLAR'!G16=7016,IF('Définition PERGOSOLAR'!G22="Yes",'Définition PERGOSOLAR'!G23,G24*'Définition PERGOSOLAR'!$G$6),0)+H24</f>
        <v>2</v>
      </c>
      <c r="K24" s="383"/>
      <c r="L24" s="77"/>
    </row>
    <row r="25" spans="1:14" ht="39.950000000000003" customHeight="1">
      <c r="A25" s="376" t="s">
        <v>421</v>
      </c>
      <c r="B25" s="377"/>
      <c r="C25" s="423" t="str">
        <f>Traduction!A240</f>
        <v>PG 2 PIEDS 2400 9010 BRILLANT</v>
      </c>
      <c r="D25" s="378" t="s">
        <v>1710</v>
      </c>
      <c r="E25" s="399">
        <v>32</v>
      </c>
      <c r="F25" s="423" t="str">
        <f>Traduction!A291</f>
        <v>2 pieds de 2400 mm de long, en Ral 9010 Brillant</v>
      </c>
      <c r="G25" s="378">
        <f>IF('Définition PERGOSOLAR'!G16=9010,IF('Définition PERGOSOLAR'!G22="Yes",'Définition PERGOSOLAR'!G23,'Définition PERGOSOLAR'!G17),0)</f>
        <v>0</v>
      </c>
      <c r="H25" s="650"/>
      <c r="I25" s="855">
        <f>IF('Définition PERGOSOLAR'!G16=9010,IF('Définition PERGOSOLAR'!G22="Yes",'Définition PERGOSOLAR'!G23,G25*'Définition PERGOSOLAR'!$G$6),0)+H25</f>
        <v>0</v>
      </c>
      <c r="K25" s="383"/>
      <c r="L25" s="77"/>
    </row>
    <row r="26" spans="1:14" ht="39.950000000000003" customHeight="1">
      <c r="A26" s="617" t="s">
        <v>422</v>
      </c>
      <c r="B26" s="377"/>
      <c r="C26" s="423" t="str">
        <f>Traduction!A241</f>
        <v>PG OPT ACC. 1 SOUS FACE 7016 MAT</v>
      </c>
      <c r="D26" s="378" t="s">
        <v>803</v>
      </c>
      <c r="E26" s="398">
        <v>7.87</v>
      </c>
      <c r="F26" s="423" t="str">
        <f>Traduction!A292</f>
        <v>kit de fixation de sous face (pour une plaque), en ral 7016 Mat</v>
      </c>
      <c r="G26" s="378">
        <f>IF('Définition PERGOSOLAR'!G16=7016,IF('Définition PERGOSOLAR'!G37="Yes",Info!P46,0),0)</f>
        <v>0</v>
      </c>
      <c r="H26" s="650"/>
      <c r="I26" s="855">
        <f>G26*'Définition PERGOSOLAR'!$G$6+H26</f>
        <v>0</v>
      </c>
      <c r="K26" s="383"/>
      <c r="L26" s="77"/>
    </row>
    <row r="27" spans="1:14" ht="39.950000000000003" customHeight="1">
      <c r="A27" s="617" t="s">
        <v>423</v>
      </c>
      <c r="B27" s="377"/>
      <c r="C27" s="423" t="str">
        <f>Traduction!A242</f>
        <v>PG OPT ACC. 1 SOUS FACE 9010 BRILLANT</v>
      </c>
      <c r="D27" s="378" t="s">
        <v>803</v>
      </c>
      <c r="E27" s="398">
        <v>7.87</v>
      </c>
      <c r="F27" s="423" t="str">
        <f>Traduction!A293</f>
        <v>kit de fixation de sous face (pour une plaque), en ral 9010 Brillant</v>
      </c>
      <c r="G27" s="378">
        <f>IF('Définition PERGOSOLAR'!G16=9010,IF('Définition PERGOSOLAR'!G37="Yes",Info!P46,0),0)</f>
        <v>0</v>
      </c>
      <c r="H27" s="650"/>
      <c r="I27" s="855">
        <f>G27*'Définition PERGOSOLAR'!$G$6+H27</f>
        <v>0</v>
      </c>
      <c r="K27" s="383"/>
      <c r="L27" s="77"/>
    </row>
    <row r="28" spans="1:14" ht="39.950000000000003" customHeight="1">
      <c r="A28" s="617" t="s">
        <v>424</v>
      </c>
      <c r="B28" s="377"/>
      <c r="C28" s="423" t="str">
        <f>Traduction!A243</f>
        <v>PG DEPORT 2 PIEDS</v>
      </c>
      <c r="D28" s="378" t="s">
        <v>804</v>
      </c>
      <c r="E28" s="398">
        <v>1.25</v>
      </c>
      <c r="F28" s="423" t="str">
        <f>Traduction!A294</f>
        <v xml:space="preserve">Kit de déport des pieds + évacuation d'eau </v>
      </c>
      <c r="G28" s="378">
        <f>IF('Définition PERGOSOLAR'!G32="yes",1,0)</f>
        <v>0</v>
      </c>
      <c r="H28" s="650"/>
      <c r="I28" s="855">
        <f>G28*'Définition PERGOSOLAR'!$G$6+H28</f>
        <v>0</v>
      </c>
      <c r="K28" s="383"/>
      <c r="L28" s="77"/>
    </row>
    <row r="29" spans="1:14" ht="39.950000000000003" customHeight="1">
      <c r="A29" s="617" t="s">
        <v>1475</v>
      </c>
      <c r="B29" s="377"/>
      <c r="C29" s="423" t="str">
        <f>Traduction!A244</f>
        <v>PG KIT PV 1x2 7016 MAT</v>
      </c>
      <c r="D29" s="378" t="s">
        <v>1705</v>
      </c>
      <c r="E29" s="398">
        <v>100</v>
      </c>
      <c r="F29" s="423" t="str">
        <f>Traduction!A295</f>
        <v>kit pour 1 ligne de panneaux photovoltaiques, pour pergola de 2 modules de large
couleur  : ral 7016 Mat</v>
      </c>
      <c r="G29" s="378">
        <f>$G$7*'Définition PERGOSOLAR'!$G$29+$G$15*'Définition PERGOSOLAR'!$G$29+$G$11*'Définition PERGOSOLAR'!$G$29</f>
        <v>0</v>
      </c>
      <c r="H29" s="650"/>
      <c r="I29" s="855">
        <f>G29*'Définition PERGOSOLAR'!$G$6+H29</f>
        <v>0</v>
      </c>
      <c r="K29" s="383"/>
      <c r="L29" s="77"/>
    </row>
    <row r="30" spans="1:14" ht="39.950000000000003" customHeight="1">
      <c r="A30" s="617" t="s">
        <v>425</v>
      </c>
      <c r="B30" s="377"/>
      <c r="C30" s="423" t="str">
        <f>Traduction!A245</f>
        <v>PG KIT PV 1x2 9010 BRILLANT</v>
      </c>
      <c r="D30" s="378" t="s">
        <v>774</v>
      </c>
      <c r="E30" s="398">
        <v>59</v>
      </c>
      <c r="F30" s="423" t="str">
        <f>Traduction!A296</f>
        <v>kit pour 1 ligne de panneaux photovoltaiques, pour pergola de 2 modules de large
couleur  : ral 9010 Brillant</v>
      </c>
      <c r="G30" s="378">
        <f>$G$8*'Définition PERGOSOLAR'!$G$29+$G$16*'Définition PERGOSOLAR'!$G$29+$G$12*'Définition PERGOSOLAR'!$G$29</f>
        <v>0</v>
      </c>
      <c r="H30" s="650"/>
      <c r="I30" s="855">
        <f>G30*'Définition PERGOSOLAR'!$G$6+H30</f>
        <v>0</v>
      </c>
      <c r="K30" s="383"/>
      <c r="L30" s="77"/>
      <c r="M30" s="394"/>
      <c r="N30" s="77"/>
    </row>
    <row r="31" spans="1:14" ht="39.950000000000003" customHeight="1">
      <c r="A31" s="617" t="s">
        <v>426</v>
      </c>
      <c r="B31" s="377"/>
      <c r="C31" s="423" t="str">
        <f>Traduction!A246</f>
        <v>PG KIT PV 1x3 7016 MAT</v>
      </c>
      <c r="D31" s="378" t="s">
        <v>775</v>
      </c>
      <c r="E31" s="398">
        <v>60</v>
      </c>
      <c r="F31" s="423" t="str">
        <f>Traduction!A297</f>
        <v>kit pour 1 ligne de panneaux photovoltaiques, pour pergola de 3 modules de large
couleur  : ral 7016 Mat</v>
      </c>
      <c r="G31" s="378">
        <f>($G$9+$G$13+$G$17)*'Définition PERGOSOLAR'!$G$29</f>
        <v>3</v>
      </c>
      <c r="H31" s="650"/>
      <c r="I31" s="855">
        <f>G31*'Définition PERGOSOLAR'!$G$6+H31</f>
        <v>3</v>
      </c>
      <c r="K31" s="383"/>
      <c r="L31" s="77"/>
    </row>
    <row r="32" spans="1:14" ht="39.950000000000003" customHeight="1">
      <c r="A32" s="617" t="s">
        <v>1476</v>
      </c>
      <c r="B32" s="377"/>
      <c r="C32" s="423" t="str">
        <f>Traduction!A247</f>
        <v>PG KIT PV 1x3 9010 BRILLANT</v>
      </c>
      <c r="D32" s="378" t="s">
        <v>775</v>
      </c>
      <c r="E32" s="398">
        <v>120</v>
      </c>
      <c r="F32" s="423" t="str">
        <f>Traduction!A298</f>
        <v>kit pour 1 ligne de panneaux photovoltaiques, pour pergola de 3 modules de large
couleur  : ral 9010 Brillant</v>
      </c>
      <c r="G32" s="378">
        <f>($G$10+$G$14+$G$18)*'Définition PERGOSOLAR'!$G$29</f>
        <v>0</v>
      </c>
      <c r="H32" s="650"/>
      <c r="I32" s="855">
        <f>G32*'Définition PERGOSOLAR'!$G$6+H32</f>
        <v>0</v>
      </c>
      <c r="K32" s="383"/>
      <c r="L32" s="77"/>
    </row>
    <row r="33" spans="1:12" ht="39.950000000000003" customHeight="1">
      <c r="A33" s="376" t="s">
        <v>1091</v>
      </c>
      <c r="B33" s="377"/>
      <c r="C33" s="423" t="str">
        <f>Traduction!A367</f>
        <v>DAISY Wifi - pilotage par Smartphone</v>
      </c>
      <c r="D33" s="378" t="s">
        <v>1092</v>
      </c>
      <c r="E33" s="400">
        <v>0.24</v>
      </c>
      <c r="F33" s="423" t="str">
        <f>Traduction!A367</f>
        <v>DAISY Wifi - pilotage par Smartphone</v>
      </c>
      <c r="G33" s="378">
        <f>IF('Définition PERGOSOLAR'!G52="yes",1,0)</f>
        <v>0</v>
      </c>
      <c r="H33" s="650"/>
      <c r="I33" s="855">
        <f>G33*'Définition PERGOSOLAR'!$G$6+H33</f>
        <v>0</v>
      </c>
    </row>
    <row r="34" spans="1:12" ht="39.950000000000003" customHeight="1">
      <c r="A34" s="376" t="s">
        <v>1466</v>
      </c>
      <c r="B34" s="377"/>
      <c r="C34" s="423" t="str">
        <f>Traduction!A248</f>
        <v>KIT RUBANS LED 20M 3200°K</v>
      </c>
      <c r="D34" s="378" t="s">
        <v>1477</v>
      </c>
      <c r="E34" s="400">
        <v>2.87</v>
      </c>
      <c r="F34" s="423" t="str">
        <f>Traduction!A299</f>
        <v>Kit LED en ruban + ALIM + récepteur + télécommande</v>
      </c>
      <c r="G34" s="378">
        <f>IF('Définition PERGOSOLAR'!G34="yes",1,0)</f>
        <v>1</v>
      </c>
      <c r="H34" s="650"/>
      <c r="I34" s="855">
        <f>G34*'Définition PERGOSOLAR'!$G$6+H34</f>
        <v>1</v>
      </c>
    </row>
    <row r="35" spans="1:12" ht="39.950000000000003" customHeight="1">
      <c r="A35" s="376" t="s">
        <v>445</v>
      </c>
      <c r="B35" s="377"/>
      <c r="C35" s="423" t="str">
        <f>Traduction!A249</f>
        <v>KIT 4 SPOTS LED 3000°K</v>
      </c>
      <c r="D35" s="378" t="s">
        <v>805</v>
      </c>
      <c r="E35" s="398">
        <v>1.8</v>
      </c>
      <c r="F35" s="423" t="str">
        <f>Traduction!A300</f>
        <v>option kit Led : 4 spots  + ALIM + récepteur + télécommande</v>
      </c>
      <c r="G35" s="378">
        <f>IF('Définition PERGOSOLAR'!G29&lt;2,0,IF('Définition PERGOSOLAR'!G35="yes",1,0))</f>
        <v>0</v>
      </c>
      <c r="H35" s="650"/>
      <c r="I35" s="855">
        <f>G35*'Définition PERGOSOLAR'!$G$6+H35</f>
        <v>0</v>
      </c>
      <c r="K35" s="383"/>
      <c r="L35" s="77"/>
    </row>
    <row r="36" spans="1:12" ht="39.950000000000003" customHeight="1">
      <c r="A36" s="376" t="s">
        <v>446</v>
      </c>
      <c r="B36" s="377"/>
      <c r="C36" s="423" t="str">
        <f>Traduction!A250</f>
        <v>KIT 2 SPOTS LED 3000°K</v>
      </c>
      <c r="D36" s="378" t="s">
        <v>806</v>
      </c>
      <c r="E36" s="398">
        <v>0.32900000000000001</v>
      </c>
      <c r="F36" s="423" t="str">
        <f>Traduction!A301</f>
        <v>option : 2 spots supplémentaires</v>
      </c>
      <c r="G36" s="378">
        <f>IF('Définition PERGOSOLAR'!G29&lt;2,0,IF('Définition PERGOSOLAR'!G35="Yes",IF(Catalogue!D137=65,0,'Définition PERGOSOLAR'!G36),0))</f>
        <v>0</v>
      </c>
      <c r="H36" s="650"/>
      <c r="I36" s="855">
        <f>G36*'Définition PERGOSOLAR'!$G$6+H36</f>
        <v>0</v>
      </c>
      <c r="K36" s="383"/>
      <c r="L36" s="77"/>
    </row>
    <row r="37" spans="1:12" ht="39.950000000000003" customHeight="1">
      <c r="A37" s="376" t="s">
        <v>447</v>
      </c>
      <c r="B37" s="377"/>
      <c r="C37" s="423" t="str">
        <f>Traduction!A251</f>
        <v>sous face X3 : 980x2530 mm</v>
      </c>
      <c r="D37" s="378"/>
      <c r="E37" s="398"/>
      <c r="F37" s="423" t="str">
        <f>Traduction!A302</f>
        <v>plaque de makrolon 980x2530mm</v>
      </c>
      <c r="G37" s="378">
        <f>IF('Définition PERGOSOLAR'!G37="Yes",IF('Définition PERGOSOLAR'!G38="Yes",IF('Définition PERGOSOLAR'!G29&gt;0,IF(Info!S46&gt;0,Info!S46,0),0),0),0)</f>
        <v>0</v>
      </c>
      <c r="H37" s="650"/>
      <c r="I37" s="855">
        <f>G37*'Définition PERGOSOLAR'!$G$6+H37</f>
        <v>0</v>
      </c>
      <c r="K37" s="383"/>
      <c r="L37" s="77"/>
    </row>
    <row r="38" spans="1:12" ht="39.950000000000003" customHeight="1">
      <c r="A38" s="376" t="s">
        <v>448</v>
      </c>
      <c r="B38" s="377"/>
      <c r="C38" s="423" t="str">
        <f>Traduction!A252</f>
        <v>sous face X2 : 980x3390 mm</v>
      </c>
      <c r="D38" s="378"/>
      <c r="E38" s="398"/>
      <c r="F38" s="423" t="str">
        <f>Traduction!A303</f>
        <v>plaque de makrolon 980x3390mm</v>
      </c>
      <c r="G38" s="378">
        <f>IF('Définition PERGOSOLAR'!G37="Yes",IF('Définition PERGOSOLAR'!G38="Yes",IF('Définition PERGOSOLAR'!G29&gt;0,IF(Info!T46&gt;0,Info!T46,0),0),0),0)</f>
        <v>0</v>
      </c>
      <c r="H38" s="650"/>
      <c r="I38" s="855">
        <f>G38*'Définition PERGOSOLAR'!$G$6+H38</f>
        <v>0</v>
      </c>
      <c r="K38" s="383"/>
      <c r="L38" s="77"/>
    </row>
    <row r="39" spans="1:12" ht="39.950000000000003" customHeight="1">
      <c r="A39" s="617" t="s">
        <v>666</v>
      </c>
      <c r="B39" s="377"/>
      <c r="C39" s="423" t="str">
        <f>Traduction!A253</f>
        <v>PG KIT 2 FIXATIONS MURALES 7016 MAT</v>
      </c>
      <c r="D39" s="378" t="s">
        <v>807</v>
      </c>
      <c r="E39" s="398">
        <v>1.5</v>
      </c>
      <c r="F39" s="423" t="str">
        <f>Traduction!A304</f>
        <v>Kit 2 fixations murales RAL 7016 Mat</v>
      </c>
      <c r="G39" s="378">
        <f>IF('Définition PERGOSOLAR'!$G$16=7016,IF('Définition PERGOSOLAR'!$G$18&gt;0,1,0),0)</f>
        <v>0</v>
      </c>
      <c r="H39" s="650"/>
      <c r="I39" s="855">
        <f>G39*'Définition PERGOSOLAR'!$G$6+H39</f>
        <v>0</v>
      </c>
      <c r="K39" s="383"/>
      <c r="L39" s="77"/>
    </row>
    <row r="40" spans="1:12" ht="39.950000000000003" customHeight="1">
      <c r="A40" s="617" t="s">
        <v>667</v>
      </c>
      <c r="B40" s="377"/>
      <c r="C40" s="423" t="str">
        <f>Traduction!A254</f>
        <v>PG KIT 2 FIXATIONS MURALES RAL9010</v>
      </c>
      <c r="D40" s="378" t="s">
        <v>807</v>
      </c>
      <c r="E40" s="398">
        <v>1.5</v>
      </c>
      <c r="F40" s="423" t="str">
        <f>Traduction!A305</f>
        <v>Kit 2 fixations murales RAL 9010</v>
      </c>
      <c r="G40" s="378">
        <f>IF('Définition PERGOSOLAR'!$G$16=9010,IF('Définition PERGOSOLAR'!$G$18&gt;0,1,0),0)</f>
        <v>0</v>
      </c>
      <c r="H40" s="650"/>
      <c r="I40" s="855">
        <f>G40*'Définition PERGOSOLAR'!$G$6+H40</f>
        <v>0</v>
      </c>
      <c r="K40" s="383"/>
      <c r="L40" s="77"/>
    </row>
    <row r="41" spans="1:12" ht="39.950000000000003" customHeight="1">
      <c r="A41" s="376" t="s">
        <v>736</v>
      </c>
      <c r="B41" s="377"/>
      <c r="C41" s="423" t="str">
        <f>Traduction!A255</f>
        <v>kit 2 embases de pieds 7016 Mat</v>
      </c>
      <c r="D41" s="378" t="s">
        <v>801</v>
      </c>
      <c r="E41" s="398">
        <v>6.55</v>
      </c>
      <c r="F41" s="423" t="str">
        <f>Traduction!A306</f>
        <v>kit 2 embases de pieds 7016 Mat</v>
      </c>
      <c r="G41" s="378">
        <f>IF('Définition PERGOSOLAR'!$G$16=7016,IF('Définition PERGOSOLAR'!$G$19="yes",IF('Définition PERGOSOLAR'!G20="No",$G$24,0)),0)</f>
        <v>2</v>
      </c>
      <c r="H41" s="650"/>
      <c r="I41" s="855">
        <f>IF('Définition PERGOSOLAR'!G16=7016,IF('Définition PERGOSOLAR'!G20="No",IF('Définition PERGOSOLAR'!G22="Yes",'Définition PERGOSOLAR'!G23,G24*'Définition PERGOSOLAR'!$G$6)),0)+H41</f>
        <v>2</v>
      </c>
      <c r="K41" s="383"/>
      <c r="L41" s="77"/>
    </row>
    <row r="42" spans="1:12" ht="39.950000000000003" customHeight="1">
      <c r="A42" s="376" t="s">
        <v>737</v>
      </c>
      <c r="B42" s="377"/>
      <c r="C42" s="423" t="str">
        <f>Traduction!A256</f>
        <v>kit 2 embases de pieds 9010</v>
      </c>
      <c r="D42" s="378" t="s">
        <v>801</v>
      </c>
      <c r="E42" s="398">
        <v>6.55</v>
      </c>
      <c r="F42" s="423" t="str">
        <f>Traduction!A307</f>
        <v>kit 2 embases de pieds 9010</v>
      </c>
      <c r="G42" s="378">
        <f>IF('Définition PERGOSOLAR'!$G$16=9010,IF('Définition PERGOSOLAR'!$G$19="yes",IF('Définition PERGOSOLAR'!G20="No",$G$25,0)),0)</f>
        <v>0</v>
      </c>
      <c r="H42" s="650"/>
      <c r="I42" s="855">
        <f>IF('Définition PERGOSOLAR'!G16=9010,IF('Définition PERGOSOLAR'!G20="No",IF('Définition PERGOSOLAR'!G22="Yes",'Définition PERGOSOLAR'!G23,G25*'Définition PERGOSOLAR'!$G$6)),0)+H42</f>
        <v>0</v>
      </c>
      <c r="K42" s="383"/>
      <c r="L42" s="77"/>
    </row>
    <row r="43" spans="1:12" ht="39.950000000000003" customHeight="1">
      <c r="A43" s="376" t="s">
        <v>1833</v>
      </c>
      <c r="B43" s="377"/>
      <c r="C43" s="423" t="str">
        <f>Traduction!A490</f>
        <v>KIT 2 EMBASES ENCASTREES 7016 MAT</v>
      </c>
      <c r="D43" s="378" t="s">
        <v>1864</v>
      </c>
      <c r="E43" s="398">
        <v>50</v>
      </c>
      <c r="F43" s="423" t="str">
        <f>Traduction!A490</f>
        <v>KIT 2 EMBASES ENCASTREES 7016 MAT</v>
      </c>
      <c r="G43" s="378">
        <f>IF('Définition PERGOSOLAR'!$G$16=7016,IF('Définition PERGOSOLAR'!$G$19="yes",IF('Définition PERGOSOLAR'!G20="Yes",$G$24,0)),0)</f>
        <v>0</v>
      </c>
      <c r="H43" s="650"/>
      <c r="I43" s="855">
        <f>IF('Définition PERGOSOLAR'!G16=7016,IF('Définition PERGOSOLAR'!G20="Yes",IF('Définition PERGOSOLAR'!G22="Yes",'Définition PERGOSOLAR'!G23,G24*'Définition PERGOSOLAR'!$G$6)),0)+H43</f>
        <v>0</v>
      </c>
      <c r="K43" s="383"/>
      <c r="L43" s="77"/>
    </row>
    <row r="44" spans="1:12" ht="39.950000000000003" customHeight="1">
      <c r="A44" s="376" t="s">
        <v>1834</v>
      </c>
      <c r="B44" s="377"/>
      <c r="C44" s="423" t="str">
        <f>Traduction!A491</f>
        <v>KIT 2 EMBASES ENCASTREES 9010</v>
      </c>
      <c r="D44" s="378" t="s">
        <v>1864</v>
      </c>
      <c r="E44" s="398">
        <v>50</v>
      </c>
      <c r="F44" s="423" t="str">
        <f>Traduction!A491</f>
        <v>KIT 2 EMBASES ENCASTREES 9010</v>
      </c>
      <c r="G44" s="378">
        <f>IF('Définition PERGOSOLAR'!$G$16=9010,IF('Définition PERGOSOLAR'!$G$19="yes",IF('Définition PERGOSOLAR'!G20="Yes",$G$25,0)),0)</f>
        <v>0</v>
      </c>
      <c r="H44" s="650"/>
      <c r="I44" s="855">
        <f>IF('Définition PERGOSOLAR'!G16=9010,IF('Définition PERGOSOLAR'!G20="Yes",IF('Définition PERGOSOLAR'!G22="Yes",'Définition PERGOSOLAR'!G23,G25*'Définition PERGOSOLAR'!$G$6)),0)+H44</f>
        <v>0</v>
      </c>
      <c r="K44" s="383"/>
      <c r="L44" s="77"/>
    </row>
    <row r="45" spans="1:12" ht="39.950000000000003" customHeight="1">
      <c r="A45" s="375" t="s">
        <v>722</v>
      </c>
      <c r="B45" s="377"/>
      <c r="C45" s="423" t="str">
        <f>Traduction!A257</f>
        <v>STORE VERTICAL l2543 7016MAT
Mermet satiné 5500-0201</v>
      </c>
      <c r="D45" s="378" t="s">
        <v>764</v>
      </c>
      <c r="E45" s="398">
        <v>26</v>
      </c>
      <c r="F45" s="423" t="str">
        <f>Traduction!A308</f>
        <v>STORE VERTICAL l2543 7016MAT
Mermet satiné 5500-0201</v>
      </c>
      <c r="G45" s="378">
        <f>IF('Définition PERGOSOLAR'!$G$16=7016,IF(Info!$Q$29=2543,'Définition PERGOSOLAR'!G41,0),0)</f>
        <v>0</v>
      </c>
      <c r="H45" s="650"/>
      <c r="I45" s="855">
        <f>IF('Définition PERGOSOLAR'!$G$22="Yes",G45,G45*'Définition PERGOSOLAR'!$G$6)+H45</f>
        <v>0</v>
      </c>
      <c r="K45" s="383"/>
      <c r="L45" s="77"/>
    </row>
    <row r="46" spans="1:12" ht="39.950000000000003" customHeight="1">
      <c r="A46" s="375" t="s">
        <v>723</v>
      </c>
      <c r="B46" s="377"/>
      <c r="C46" s="423" t="str">
        <f>Traduction!A258</f>
        <v>STORE VERTICAL l2543 9010BRI
Mermet satiné 5500-0201</v>
      </c>
      <c r="D46" s="378" t="s">
        <v>764</v>
      </c>
      <c r="E46" s="398">
        <v>26</v>
      </c>
      <c r="F46" s="423" t="str">
        <f>Traduction!A309</f>
        <v>STORE VERTICAL l2543 9010BRI
Mermet satiné 5500-0201</v>
      </c>
      <c r="G46" s="378">
        <f>IF('Définition PERGOSOLAR'!$G$16=9010,IF(Info!$Q$29=2543,'Définition PERGOSOLAR'!G41,0),0)</f>
        <v>0</v>
      </c>
      <c r="H46" s="650"/>
      <c r="I46" s="855">
        <f>IF('Définition PERGOSOLAR'!$G$22="Yes",G46,G46*'Définition PERGOSOLAR'!$G$6)+H46</f>
        <v>0</v>
      </c>
      <c r="K46" s="383"/>
      <c r="L46" s="77"/>
    </row>
    <row r="47" spans="1:12" ht="39.950000000000003" customHeight="1">
      <c r="A47" s="375" t="s">
        <v>730</v>
      </c>
      <c r="B47" s="377"/>
      <c r="C47" s="423" t="str">
        <f>Traduction!A259</f>
        <v>STORE VERTICAL l2693 7016MAT
Mermet satiné 5500-0201</v>
      </c>
      <c r="D47" s="378" t="s">
        <v>763</v>
      </c>
      <c r="E47" s="398">
        <v>27</v>
      </c>
      <c r="F47" s="423" t="str">
        <f>Traduction!A310</f>
        <v>STORE VERTICAL l2693 7016MAT
Mermet satiné 5500-0201</v>
      </c>
      <c r="G47" s="378">
        <f>IF('Définition PERGOSOLAR'!$G$16=7016,IF(Info!$Q$29=2693,'Définition PERGOSOLAR'!G41,0),0)</f>
        <v>0</v>
      </c>
      <c r="H47" s="650"/>
      <c r="I47" s="855">
        <f>IF('Définition PERGOSOLAR'!$G$22="Yes",G47,G47*'Définition PERGOSOLAR'!$G$6)+H47</f>
        <v>0</v>
      </c>
      <c r="K47" s="383"/>
      <c r="L47" s="77"/>
    </row>
    <row r="48" spans="1:12" ht="39.950000000000003" customHeight="1">
      <c r="A48" s="375" t="s">
        <v>731</v>
      </c>
      <c r="B48" s="377"/>
      <c r="C48" s="423" t="str">
        <f>Traduction!A260</f>
        <v>STORE VERTICAL l2693 9010BRI
Mermet satiné 5500-0201</v>
      </c>
      <c r="D48" s="378" t="s">
        <v>763</v>
      </c>
      <c r="E48" s="398">
        <v>27</v>
      </c>
      <c r="F48" s="423" t="str">
        <f>Traduction!A311</f>
        <v>STORE VERTICAL l2693 9010BRI
Mermet satiné 5500-0201</v>
      </c>
      <c r="G48" s="378">
        <f>IF('Définition PERGOSOLAR'!$G$16=9010,IF(Info!$Q$29=2693,'Définition PERGOSOLAR'!G41,0),0)</f>
        <v>0</v>
      </c>
      <c r="H48" s="650"/>
      <c r="I48" s="855">
        <f>IF('Définition PERGOSOLAR'!$G$22="Yes",G48,G48*'Définition PERGOSOLAR'!$G$6)+H48</f>
        <v>0</v>
      </c>
      <c r="K48" s="383"/>
      <c r="L48" s="77"/>
    </row>
    <row r="49" spans="1:12" ht="39.950000000000003" customHeight="1">
      <c r="A49" s="375" t="s">
        <v>720</v>
      </c>
      <c r="B49" s="377"/>
      <c r="C49" s="423" t="str">
        <f>Traduction!A261</f>
        <v>STORE VERTICAL l3374 7016MAT 
Mermet satiné 5500-0201</v>
      </c>
      <c r="D49" s="378" t="s">
        <v>762</v>
      </c>
      <c r="E49" s="398">
        <v>28</v>
      </c>
      <c r="F49" s="423" t="str">
        <f>Traduction!A312</f>
        <v>STORE VERTICAL l3374 7016MAT 
Mermet satiné 5500-0201</v>
      </c>
      <c r="G49" s="378">
        <f>IF('Définition PERGOSOLAR'!$G$16=7016,IF(Info!$R$29=3374,'Définition PERGOSOLAR'!G43,0),0)</f>
        <v>0</v>
      </c>
      <c r="H49" s="650"/>
      <c r="I49" s="855">
        <f>IF('Définition PERGOSOLAR'!$G$22="Yes",G49,G49*'Définition PERGOSOLAR'!$G$6)+H49</f>
        <v>0</v>
      </c>
      <c r="K49" s="383"/>
      <c r="L49" s="77"/>
    </row>
    <row r="50" spans="1:12" ht="39.950000000000003" customHeight="1">
      <c r="A50" s="375" t="s">
        <v>721</v>
      </c>
      <c r="B50" s="377"/>
      <c r="C50" s="423" t="str">
        <f>Traduction!A262</f>
        <v>STORE VERTICAL l3374 9010BRI
Mermet satiné 5500-0201</v>
      </c>
      <c r="D50" s="378" t="s">
        <v>762</v>
      </c>
      <c r="E50" s="398">
        <v>28</v>
      </c>
      <c r="F50" s="423" t="str">
        <f>Traduction!A313</f>
        <v>STORE VERTICAL l3374 9010BRI
Mermet satiné 5500-0201</v>
      </c>
      <c r="G50" s="378">
        <f>IF('Définition PERGOSOLAR'!$G$16=9010,IF(Info!$R$29=3374,'Définition PERGOSOLAR'!G43,0),0)</f>
        <v>0</v>
      </c>
      <c r="H50" s="650"/>
      <c r="I50" s="855">
        <f>IF('Définition PERGOSOLAR'!$G$22="Yes",G50,G50*'Définition PERGOSOLAR'!$G$6)+H50</f>
        <v>0</v>
      </c>
      <c r="K50" s="383"/>
      <c r="L50" s="77"/>
    </row>
    <row r="51" spans="1:12" ht="39.950000000000003" customHeight="1">
      <c r="A51" s="375" t="s">
        <v>726</v>
      </c>
      <c r="B51" s="377"/>
      <c r="C51" s="423" t="str">
        <f>Traduction!A263</f>
        <v>STORE VERTICAL l3793 7016MAT
Mermet satiné 5500-0201</v>
      </c>
      <c r="D51" s="378" t="s">
        <v>756</v>
      </c>
      <c r="E51" s="398">
        <v>31</v>
      </c>
      <c r="F51" s="423" t="str">
        <f>Traduction!A314</f>
        <v>STORE VERTICAL l3793 7016MAT
Mermet satiné 5500-0201</v>
      </c>
      <c r="G51" s="378">
        <f>IF('Définition PERGOSOLAR'!$G$16=7016,IF(Info!$Q$29=3793,'Définition PERGOSOLAR'!G41,0),0)</f>
        <v>1</v>
      </c>
      <c r="H51" s="650"/>
      <c r="I51" s="855">
        <f>IF('Définition PERGOSOLAR'!$G$22="Yes",G51,G51*'Définition PERGOSOLAR'!$G$6)+H51</f>
        <v>1</v>
      </c>
      <c r="K51" s="383"/>
      <c r="L51" s="77"/>
    </row>
    <row r="52" spans="1:12" ht="39.950000000000003" customHeight="1">
      <c r="A52" s="375" t="s">
        <v>727</v>
      </c>
      <c r="B52" s="377"/>
      <c r="C52" s="423" t="str">
        <f>Traduction!A264</f>
        <v>STORE VERTICAL l3793 9010BRI
Mermet satiné 5500-0201</v>
      </c>
      <c r="D52" s="378" t="s">
        <v>756</v>
      </c>
      <c r="E52" s="398">
        <v>31</v>
      </c>
      <c r="F52" s="423" t="str">
        <f>Traduction!A315</f>
        <v>STORE VERTICAL l3793 9010BRI
Mermet satiné 5500-0201</v>
      </c>
      <c r="G52" s="378">
        <f>IF('Définition PERGOSOLAR'!$G$16=9010,IF(Info!$Q$29=3793,'Définition PERGOSOLAR'!G41,0),0)</f>
        <v>0</v>
      </c>
      <c r="H52" s="650"/>
      <c r="I52" s="855">
        <f>IF('Définition PERGOSOLAR'!$G$22="Yes",G52,G52*'Définition PERGOSOLAR'!$G$6)+H52</f>
        <v>0</v>
      </c>
      <c r="K52" s="383"/>
      <c r="L52" s="77"/>
    </row>
    <row r="53" spans="1:12" ht="39.950000000000003" customHeight="1">
      <c r="A53" s="375" t="s">
        <v>732</v>
      </c>
      <c r="B53" s="377"/>
      <c r="C53" s="423" t="str">
        <f>Traduction!A265</f>
        <v>STORE VERTICAL l3943 7016MAT
Mermet satiné 5500-0201</v>
      </c>
      <c r="D53" s="378" t="s">
        <v>757</v>
      </c>
      <c r="E53" s="398">
        <v>35</v>
      </c>
      <c r="F53" s="423" t="str">
        <f>Traduction!A316</f>
        <v>STORE VERTICAL l3943 7016MAT
Mermet satiné 5500-0201</v>
      </c>
      <c r="G53" s="378">
        <f>IF('Définition PERGOSOLAR'!$G$16=7016,IF(Info!$Q$29=3943,'Définition PERGOSOLAR'!G41,0),0)</f>
        <v>0</v>
      </c>
      <c r="H53" s="650"/>
      <c r="I53" s="855">
        <f>IF('Définition PERGOSOLAR'!$G$22="Yes",G53,G53*'Définition PERGOSOLAR'!$G$6)+H53</f>
        <v>0</v>
      </c>
      <c r="K53" s="383"/>
      <c r="L53" s="77"/>
    </row>
    <row r="54" spans="1:12" ht="39.950000000000003" customHeight="1">
      <c r="A54" s="375" t="s">
        <v>733</v>
      </c>
      <c r="B54" s="377"/>
      <c r="C54" s="423" t="str">
        <f>Traduction!A266</f>
        <v>STORE VERTICAL l3943 9010BRI
Mermet satiné 5500-0201</v>
      </c>
      <c r="D54" s="378" t="s">
        <v>757</v>
      </c>
      <c r="E54" s="398">
        <v>35</v>
      </c>
      <c r="F54" s="423" t="str">
        <f>Traduction!A317</f>
        <v>STORE VERTICAL l3943 9010BRI
Mermet satiné 5500-0201</v>
      </c>
      <c r="G54" s="378">
        <f>IF('Définition PERGOSOLAR'!$G$16=9010,IF(Info!$Q$29=3943,'Définition PERGOSOLAR'!G41,0),0)</f>
        <v>0</v>
      </c>
      <c r="H54" s="650"/>
      <c r="I54" s="855">
        <f>IF('Définition PERGOSOLAR'!$G$22="Yes",G54,G54*'Définition PERGOSOLAR'!$G$6)+H54</f>
        <v>0</v>
      </c>
      <c r="K54" s="383"/>
      <c r="L54" s="77"/>
    </row>
    <row r="55" spans="1:12" ht="39.950000000000003" customHeight="1">
      <c r="A55" s="375" t="s">
        <v>728</v>
      </c>
      <c r="B55" s="377"/>
      <c r="C55" s="423" t="str">
        <f>Traduction!A267</f>
        <v>STORE VERTICAL l5043 7016MAT
Mermet satiné 5500-0201</v>
      </c>
      <c r="D55" s="378" t="s">
        <v>758</v>
      </c>
      <c r="E55" s="398">
        <v>42</v>
      </c>
      <c r="F55" s="423" t="str">
        <f>Traduction!A318</f>
        <v>STORE VERTICAL l5043 7016MAT
Mermet satiné 5500-0201</v>
      </c>
      <c r="G55" s="378">
        <f>IF('Définition PERGOSOLAR'!$G$16=7016,IF(Info!$Q$29=5043,'Définition PERGOSOLAR'!G41,0),0)</f>
        <v>0</v>
      </c>
      <c r="H55" s="650"/>
      <c r="I55" s="855">
        <f>IF('Définition PERGOSOLAR'!$G$22="Yes",G55,G55*'Définition PERGOSOLAR'!$G$6)+H55</f>
        <v>0</v>
      </c>
      <c r="K55" s="383"/>
      <c r="L55" s="77"/>
    </row>
    <row r="56" spans="1:12" ht="39.950000000000003" customHeight="1">
      <c r="A56" s="375" t="s">
        <v>729</v>
      </c>
      <c r="B56" s="377"/>
      <c r="C56" s="423" t="str">
        <f>Traduction!A268</f>
        <v>STORE VERTICAL l5043 9010BRI
Mermet satiné 5500-0201</v>
      </c>
      <c r="D56" s="378" t="s">
        <v>758</v>
      </c>
      <c r="E56" s="398">
        <v>42</v>
      </c>
      <c r="F56" s="423" t="str">
        <f>Traduction!A319</f>
        <v>STORE VERTICAL l5043 9010BRI
Mermet satiné 5500-0201</v>
      </c>
      <c r="G56" s="378">
        <f>IF('Définition PERGOSOLAR'!$G$16=9010,IF(Info!$Q$29=5043,'Définition PERGOSOLAR'!G41,0),0)</f>
        <v>0</v>
      </c>
      <c r="H56" s="650"/>
      <c r="I56" s="855">
        <f>IF('Définition PERGOSOLAR'!$G$22="Yes",G56,G56*'Définition PERGOSOLAR'!$G$6)+H56</f>
        <v>0</v>
      </c>
      <c r="K56" s="383"/>
      <c r="L56" s="77"/>
    </row>
    <row r="57" spans="1:12" ht="39.950000000000003" customHeight="1">
      <c r="A57" s="375" t="s">
        <v>724</v>
      </c>
      <c r="B57" s="377"/>
      <c r="C57" s="423" t="str">
        <f>Traduction!A269</f>
        <v>STORE VERTICAL l5074 7016MAT
Mermet satiné 5500-0201</v>
      </c>
      <c r="D57" s="378" t="s">
        <v>759</v>
      </c>
      <c r="E57" s="398">
        <v>42</v>
      </c>
      <c r="F57" s="423" t="str">
        <f>Traduction!A320</f>
        <v>STORE VERTICAL l5074 7016MAT
Mermet satiné 5500-0201</v>
      </c>
      <c r="G57" s="378">
        <f>IF('Définition PERGOSOLAR'!$G$16=7016,IF(Info!$R$29=5074,'Définition PERGOSOLAR'!G43,0),0)</f>
        <v>1</v>
      </c>
      <c r="H57" s="650"/>
      <c r="I57" s="855">
        <f>IF('Définition PERGOSOLAR'!$G$22="Yes",G57,G57*'Définition PERGOSOLAR'!$G$6)+H57</f>
        <v>1</v>
      </c>
      <c r="K57" s="383"/>
      <c r="L57" s="77"/>
    </row>
    <row r="58" spans="1:12" ht="39.950000000000003" customHeight="1">
      <c r="A58" s="375" t="s">
        <v>725</v>
      </c>
      <c r="B58" s="377"/>
      <c r="C58" s="423" t="str">
        <f>Traduction!A270</f>
        <v>STORE VERTICAL l5074 9010BRI
Mermet satiné 5500-0201</v>
      </c>
      <c r="D58" s="378" t="s">
        <v>759</v>
      </c>
      <c r="E58" s="398">
        <v>42</v>
      </c>
      <c r="F58" s="423" t="str">
        <f>Traduction!A321</f>
        <v>STORE VERTICAL l5074 9010BRI
Mermet satiné 5500-0201</v>
      </c>
      <c r="G58" s="378">
        <f>IF('Définition PERGOSOLAR'!$G$16=9010,IF(Info!$R$29=5074,'Définition PERGOSOLAR'!G43,0),0)</f>
        <v>0</v>
      </c>
      <c r="H58" s="650"/>
      <c r="I58" s="855">
        <f>IF('Définition PERGOSOLAR'!$G$22="Yes",G58,G58*'Définition PERGOSOLAR'!$G$6)+H58</f>
        <v>0</v>
      </c>
      <c r="K58" s="383"/>
      <c r="L58" s="77"/>
    </row>
    <row r="59" spans="1:12" ht="39.950000000000003" customHeight="1">
      <c r="A59" s="375" t="s">
        <v>734</v>
      </c>
      <c r="B59" s="377"/>
      <c r="C59" s="423" t="str">
        <f>Traduction!A271</f>
        <v>STORE VERTICAL l5193 7016MAT
Mermet satiné 5500-0201</v>
      </c>
      <c r="D59" s="378" t="s">
        <v>760</v>
      </c>
      <c r="E59" s="398">
        <v>44</v>
      </c>
      <c r="F59" s="423" t="str">
        <f>Traduction!A322</f>
        <v>STORE VERTICAL l5193 7016MAT
Mermet satiné 5500-0201</v>
      </c>
      <c r="G59" s="378">
        <f>IF('Définition PERGOSOLAR'!$G$16=7016,IF(Info!$Q$29=5193,'Définition PERGOSOLAR'!G41,0),0)</f>
        <v>0</v>
      </c>
      <c r="H59" s="650"/>
      <c r="I59" s="855">
        <f>IF('Définition PERGOSOLAR'!$G$22="Yes",G59,G59*'Définition PERGOSOLAR'!$G$6)+H59</f>
        <v>0</v>
      </c>
      <c r="K59" s="383"/>
      <c r="L59" s="77"/>
    </row>
    <row r="60" spans="1:12" ht="39.950000000000003" customHeight="1">
      <c r="A60" s="375" t="s">
        <v>735</v>
      </c>
      <c r="B60" s="377"/>
      <c r="C60" s="423" t="str">
        <f>Traduction!A272</f>
        <v>STORE VERTICAL l5193 9010BRI
Mermet satiné 5500-0201</v>
      </c>
      <c r="D60" s="378" t="s">
        <v>761</v>
      </c>
      <c r="E60" s="398">
        <v>44</v>
      </c>
      <c r="F60" s="423" t="str">
        <f>Traduction!A323</f>
        <v>STORE VERTICAL l5193 9010BRI
Mermet satiné 5500-0201</v>
      </c>
      <c r="G60" s="378">
        <f>IF('Définition PERGOSOLAR'!$G$16=9010,IF(Info!$Q$29=5193,'Définition PERGOSOLAR'!G41,0),0)</f>
        <v>0</v>
      </c>
      <c r="H60" s="650"/>
      <c r="I60" s="855">
        <f>IF('Définition PERGOSOLAR'!$G$22="Yes",G60,G60*'Définition PERGOSOLAR'!$G$6)+H60</f>
        <v>0</v>
      </c>
      <c r="K60" s="383"/>
      <c r="L60" s="77"/>
    </row>
    <row r="61" spans="1:12" ht="39.950000000000003" customHeight="1">
      <c r="A61" s="375" t="s">
        <v>1929</v>
      </c>
      <c r="B61" s="377"/>
      <c r="C61" s="423" t="str">
        <f>Traduction!A496</f>
        <v>STORE VERTICAL l3524 9010BRI
Mermet satiné 5500-0201</v>
      </c>
      <c r="D61" s="378"/>
      <c r="E61" s="398"/>
      <c r="F61" s="423" t="str">
        <f>Traduction!A496</f>
        <v>STORE VERTICAL l3524 9010BRI
Mermet satiné 5500-0201</v>
      </c>
      <c r="G61" s="378" t="str">
        <f>Traduction!A495</f>
        <v>Entrée manuelle</v>
      </c>
      <c r="H61" s="650"/>
      <c r="I61" s="855">
        <f>H61</f>
        <v>0</v>
      </c>
      <c r="K61" s="383"/>
      <c r="L61" s="77"/>
    </row>
    <row r="62" spans="1:12" ht="39.950000000000003" customHeight="1">
      <c r="A62" s="375" t="s">
        <v>1930</v>
      </c>
      <c r="B62" s="377"/>
      <c r="C62" s="423" t="str">
        <f>Traduction!A497</f>
        <v>STORE VERTICAL l3524 9010BRI
Mermet satiné 5500-0201</v>
      </c>
      <c r="D62" s="378"/>
      <c r="E62" s="398"/>
      <c r="F62" s="423" t="str">
        <f>Traduction!A497</f>
        <v>STORE VERTICAL l3524 9010BRI
Mermet satiné 5500-0201</v>
      </c>
      <c r="G62" s="378" t="str">
        <f>Traduction!A495</f>
        <v>Entrée manuelle</v>
      </c>
      <c r="H62" s="650"/>
      <c r="I62" s="855">
        <f t="shared" ref="I62:I64" si="0">H62</f>
        <v>0</v>
      </c>
      <c r="K62" s="383"/>
      <c r="L62" s="77"/>
    </row>
    <row r="63" spans="1:12" ht="39.950000000000003" customHeight="1">
      <c r="A63" s="375" t="s">
        <v>1931</v>
      </c>
      <c r="B63" s="377"/>
      <c r="C63" s="423" t="str">
        <f>Traduction!A498</f>
        <v>STORE VERTICAL l5224 9010BRI
Mermet satiné 5500-0201</v>
      </c>
      <c r="D63" s="378"/>
      <c r="E63" s="398"/>
      <c r="F63" s="423" t="str">
        <f>Traduction!A498</f>
        <v>STORE VERTICAL l5224 9010BRI
Mermet satiné 5500-0201</v>
      </c>
      <c r="G63" s="378" t="str">
        <f>Traduction!A495</f>
        <v>Entrée manuelle</v>
      </c>
      <c r="H63" s="650"/>
      <c r="I63" s="855">
        <f t="shared" si="0"/>
        <v>0</v>
      </c>
      <c r="K63" s="383"/>
      <c r="L63" s="77"/>
    </row>
    <row r="64" spans="1:12" ht="39.950000000000003" customHeight="1">
      <c r="A64" s="375" t="s">
        <v>1932</v>
      </c>
      <c r="B64" s="377"/>
      <c r="C64" s="423" t="str">
        <f>Traduction!A499</f>
        <v>STORE VERTICAL l5224 9010BRI
Mermet satiné 5500-0201</v>
      </c>
      <c r="D64" s="378"/>
      <c r="E64" s="398"/>
      <c r="F64" s="423" t="str">
        <f>Traduction!A499</f>
        <v>STORE VERTICAL l5224 9010BRI
Mermet satiné 5500-0201</v>
      </c>
      <c r="G64" s="378" t="str">
        <f>Traduction!A495</f>
        <v>Entrée manuelle</v>
      </c>
      <c r="H64" s="650"/>
      <c r="I64" s="855">
        <f t="shared" si="0"/>
        <v>0</v>
      </c>
      <c r="K64" s="383"/>
      <c r="L64" s="77"/>
    </row>
    <row r="65" spans="1:12" ht="39.950000000000003" customHeight="1">
      <c r="A65" s="375" t="s">
        <v>1839</v>
      </c>
      <c r="B65" s="377"/>
      <c r="C65" s="423" t="str">
        <f>Traduction!B493</f>
        <v>TELECOMMANDE TVNOON868NM63L</v>
      </c>
      <c r="D65" s="378" t="s">
        <v>1859</v>
      </c>
      <c r="E65" s="398">
        <v>0.10299999999999999</v>
      </c>
      <c r="F65" s="423" t="str">
        <f>Traduction!B493</f>
        <v>TELECOMMANDE TVNOON868NM63L</v>
      </c>
      <c r="G65" s="378">
        <f>IF(G34&gt;0,0,IF((G20+G21+G22+G23+G45+G46+G47+G48+G49+G50+G51+G52+G53+G54+G55+G56+G57+G58+G59+G60)&gt;0,1,0))</f>
        <v>0</v>
      </c>
      <c r="H65" s="650"/>
      <c r="I65" s="855">
        <f>G65+H65</f>
        <v>0</v>
      </c>
      <c r="K65" s="383"/>
      <c r="L65" s="77"/>
    </row>
    <row r="66" spans="1:12" ht="39.950000000000003" customHeight="1">
      <c r="A66" s="375" t="s">
        <v>1825</v>
      </c>
      <c r="B66" s="377"/>
      <c r="C66" s="423" t="str">
        <f>Traduction!A489</f>
        <v>Récepteur IP54 pour moteur tubulaire (screen-store)  PGOVS</v>
      </c>
      <c r="D66" s="378" t="s">
        <v>1832</v>
      </c>
      <c r="E66" s="398">
        <v>0.24</v>
      </c>
      <c r="F66" s="423" t="str">
        <f>Traduction!A489</f>
        <v>Récepteur IP54 pour moteur tubulaire (screen-store)  PGOVS</v>
      </c>
      <c r="G66" s="378">
        <f>SUM(G45:G60)</f>
        <v>2</v>
      </c>
      <c r="H66" s="650"/>
      <c r="I66" s="855">
        <f>H66+SUM(I45:I60)</f>
        <v>2</v>
      </c>
      <c r="K66" s="383"/>
      <c r="L66" s="77"/>
    </row>
    <row r="67" spans="1:12" ht="39.950000000000003" customHeight="1">
      <c r="A67" s="375" t="s">
        <v>1391</v>
      </c>
      <c r="B67" s="377"/>
      <c r="C67" s="423" t="str">
        <f>Traduction!A372</f>
        <v>CLAUSTRA COULISSANT LAMES OR. 1M 7016M</v>
      </c>
      <c r="D67" s="378" t="s">
        <v>1707</v>
      </c>
      <c r="E67" s="398">
        <v>43</v>
      </c>
      <c r="F67" s="423" t="str">
        <f>Traduction!A372</f>
        <v>CLAUSTRA COULISSANT LAMES OR. 1M 7016M</v>
      </c>
      <c r="G67" s="568">
        <f>IF('Définition PERGOSOLAR'!G48="Yes",IF('Définition PERGOSOLAR'!G49="1m",'Définition PERGOSOLAR'!G50,0),0)</f>
        <v>0</v>
      </c>
      <c r="H67" s="650"/>
      <c r="I67" s="855">
        <f>IF('Définition PERGOSOLAR'!$G$22="Yes",G67,G67*'Définition PERGOSOLAR'!$G$6)+H67</f>
        <v>0</v>
      </c>
      <c r="K67" s="383"/>
      <c r="L67" s="77"/>
    </row>
    <row r="68" spans="1:12" ht="39.950000000000003" customHeight="1">
      <c r="A68" s="375" t="s">
        <v>1392</v>
      </c>
      <c r="B68" s="377"/>
      <c r="C68" s="423" t="str">
        <f>Traduction!A373</f>
        <v>CLAUSTRA COULISSANT LAMES OR. 2M 7016M</v>
      </c>
      <c r="D68" s="378" t="s">
        <v>1708</v>
      </c>
      <c r="E68" s="398">
        <v>83</v>
      </c>
      <c r="F68" s="423" t="str">
        <f>Traduction!A373</f>
        <v>CLAUSTRA COULISSANT LAMES OR. 2M 7016M</v>
      </c>
      <c r="G68" s="568">
        <f>IF('Définition PERGOSOLAR'!G48="Yes",IF('Définition PERGOSOLAR'!G49="2m",'Définition PERGOSOLAR'!G50,0),0)</f>
        <v>0</v>
      </c>
      <c r="H68" s="650"/>
      <c r="I68" s="855">
        <f>IF('Définition PERGOSOLAR'!$G$22="Yes",G68,G68*'Définition PERGOSOLAR'!$G$6)+H68</f>
        <v>0</v>
      </c>
      <c r="K68" s="383"/>
      <c r="L68" s="77"/>
    </row>
    <row r="69" spans="1:12" ht="39.950000000000003" customHeight="1">
      <c r="A69" s="375" t="s">
        <v>1393</v>
      </c>
      <c r="B69" s="377"/>
      <c r="C69" s="423" t="str">
        <f>Traduction!A374</f>
        <v>CLAUSTRA FIXE LAMES OR. 1M 7016M</v>
      </c>
      <c r="D69" s="378" t="s">
        <v>1707</v>
      </c>
      <c r="E69" s="398">
        <v>42</v>
      </c>
      <c r="F69" s="423" t="str">
        <f>Traduction!A374</f>
        <v>CLAUSTRA FIXE LAMES OR. 1M 7016M</v>
      </c>
      <c r="G69" s="568">
        <f>IF('Définition PERGOSOLAR'!G45="Yes",IF('Définition PERGOSOLAR'!G46="1m",'Définition PERGOSOLAR'!G47,0),0)</f>
        <v>0</v>
      </c>
      <c r="H69" s="650"/>
      <c r="I69" s="855">
        <f>IF('Définition PERGOSOLAR'!$G$22="Yes",G69,G69*'Définition PERGOSOLAR'!$G$6)+H69</f>
        <v>0</v>
      </c>
      <c r="K69" s="383"/>
      <c r="L69" s="77"/>
    </row>
    <row r="70" spans="1:12" ht="39.950000000000003" customHeight="1">
      <c r="A70" s="375" t="s">
        <v>1856</v>
      </c>
      <c r="B70" s="377"/>
      <c r="C70" s="423" t="str">
        <f>Traduction!A375</f>
        <v>CLAUSTRA FIXE LAMES OR. 2M 7016M</v>
      </c>
      <c r="D70" s="378" t="s">
        <v>1708</v>
      </c>
      <c r="E70" s="398">
        <v>82</v>
      </c>
      <c r="F70" s="423" t="str">
        <f>Traduction!A375</f>
        <v>CLAUSTRA FIXE LAMES OR. 2M 7016M</v>
      </c>
      <c r="G70" s="568">
        <f>IF('Définition PERGOSOLAR'!G45="Yes",IF('Définition PERGOSOLAR'!G46="2m",'Définition PERGOSOLAR'!G47,0),0)</f>
        <v>0</v>
      </c>
      <c r="H70" s="650"/>
      <c r="I70" s="855">
        <f>IF('Définition PERGOSOLAR'!$G$22="Yes",G70,G70*'Définition PERGOSOLAR'!$G$6)+H70</f>
        <v>0</v>
      </c>
      <c r="K70" s="383"/>
      <c r="L70" s="77"/>
    </row>
    <row r="71" spans="1:12" ht="39.950000000000003" customHeight="1">
      <c r="A71" s="375" t="s">
        <v>1394</v>
      </c>
      <c r="B71" s="377"/>
      <c r="C71" s="423" t="str">
        <f>Traduction!A377</f>
        <v xml:space="preserve">ENS RAILS 2600 SUP INF ACC. 7016M </v>
      </c>
      <c r="D71" s="378" t="s">
        <v>1709</v>
      </c>
      <c r="E71" s="398">
        <v>6</v>
      </c>
      <c r="F71" s="423" t="str">
        <f>Traduction!A376</f>
        <v>Pour claustra coulissant, ensemble de 1 rail haut et bas 2600 mm avec accessoires de montage 
Couleur 7016 mat (gris)</v>
      </c>
      <c r="G71" s="568">
        <f>IF('Définition PERGOSOLAR'!G48="Yes",G67+G68,0)</f>
        <v>0</v>
      </c>
      <c r="H71" s="650"/>
      <c r="I71" s="855">
        <f>IF('Définition PERGOSOLAR'!$G$22="Yes",G71,G71*'Définition PERGOSOLAR'!$G$6)+H71</f>
        <v>0</v>
      </c>
      <c r="K71" s="383"/>
      <c r="L71" s="77"/>
    </row>
    <row r="72" spans="1:12" ht="39.950000000000003" customHeight="1">
      <c r="A72" s="375" t="s">
        <v>1739</v>
      </c>
      <c r="B72" s="377"/>
      <c r="C72" s="423" t="str">
        <f>Traduction!A370</f>
        <v>KIT JUMELAGE CONFORT 7016 MAT</v>
      </c>
      <c r="D72" s="378" t="s">
        <v>1863</v>
      </c>
      <c r="E72" s="398">
        <v>1</v>
      </c>
      <c r="F72" s="423" t="str">
        <f>Traduction!A370</f>
        <v>KIT JUMELAGE CONFORT 7016 MAT</v>
      </c>
      <c r="G72" s="568">
        <f>IF('Définition PERGOSOLAR'!G22="Yes",IF('Définition PERGOSOLAR'!G16=7016,'Définition PERGOSOLAR'!G6-1,0),0)</f>
        <v>0</v>
      </c>
      <c r="H72" s="650"/>
      <c r="I72" s="855">
        <f>IF('Définition PERGOSOLAR'!G22="Yes",G72,0)+H72</f>
        <v>0</v>
      </c>
      <c r="K72" s="383"/>
      <c r="L72" s="77"/>
    </row>
    <row r="73" spans="1:12" ht="39.950000000000003" customHeight="1">
      <c r="A73" s="375" t="s">
        <v>1740</v>
      </c>
      <c r="B73" s="377"/>
      <c r="C73" s="423" t="str">
        <f>Traduction!A371</f>
        <v>KIT JUMELAGE CONFORT 9010 BRI</v>
      </c>
      <c r="D73" s="378" t="s">
        <v>1863</v>
      </c>
      <c r="E73" s="398">
        <v>1</v>
      </c>
      <c r="F73" s="423" t="str">
        <f>Traduction!A371</f>
        <v>KIT JUMELAGE CONFORT 9010 BRI</v>
      </c>
      <c r="G73" s="568">
        <f>IF('Définition PERGOSOLAR'!G22="Yes",IF('Définition PERGOSOLAR'!G16=9010,'Définition PERGOSOLAR'!G6-1,0),0)</f>
        <v>0</v>
      </c>
      <c r="H73" s="650"/>
      <c r="I73" s="855">
        <f>IF('Définition PERGOSOLAR'!G22="Yes",G73,0)+H73</f>
        <v>0</v>
      </c>
      <c r="K73" s="383"/>
      <c r="L73" s="77"/>
    </row>
    <row r="74" spans="1:12" ht="39.950000000000003" customHeight="1">
      <c r="A74" s="376" t="s">
        <v>1919</v>
      </c>
      <c r="B74" s="377"/>
      <c r="C74" s="423" t="str">
        <f>Traduction!A273</f>
        <v>KIT STRUCTURE 4 ANGLES 7016 MAT</v>
      </c>
      <c r="D74" s="378" t="s">
        <v>801</v>
      </c>
      <c r="E74" s="398">
        <v>6.36</v>
      </c>
      <c r="F74" s="423" t="str">
        <f>Traduction!A324</f>
        <v>4 NOIX, BOUCHONS, JOINTS et PASSE-CABLES EN NOIR</v>
      </c>
      <c r="G74" s="378">
        <f>IF('Définition PERGOSOLAR'!G16=7016,IF((G9+G11+G15+G7+G13+G17)&gt;0,1,0),0)</f>
        <v>1</v>
      </c>
      <c r="H74" s="650"/>
      <c r="I74" s="855">
        <f>G74*'Définition PERGOSOLAR'!$G$6+H74</f>
        <v>1</v>
      </c>
      <c r="K74" s="383"/>
      <c r="L74" s="77"/>
    </row>
    <row r="75" spans="1:12" ht="39.950000000000003" customHeight="1">
      <c r="A75" s="376" t="s">
        <v>1465</v>
      </c>
      <c r="B75" s="377"/>
      <c r="C75" s="423" t="str">
        <f>Traduction!A274</f>
        <v>KIT STRUCTURE 4 ANGLES 9010 BRILLANT</v>
      </c>
      <c r="D75" s="378" t="s">
        <v>801</v>
      </c>
      <c r="E75" s="398">
        <v>6.36</v>
      </c>
      <c r="F75" s="423" t="str">
        <f>Traduction!A325</f>
        <v>4 NOIX, BOUCHONS, JOINTS et PASSE-CABLES EN BLANC</v>
      </c>
      <c r="G75" s="378">
        <f>IF('Définition PERGOSOLAR'!G16=9010,IF((G10+G14+G16+G8+G12+G18)&gt;0,1,0),0)</f>
        <v>0</v>
      </c>
      <c r="H75" s="650"/>
      <c r="I75" s="855">
        <f>G75*'Définition PERGOSOLAR'!$G$6+H75</f>
        <v>0</v>
      </c>
      <c r="K75" s="383"/>
      <c r="L75" s="77"/>
    </row>
    <row r="76" spans="1:12" ht="39.950000000000003" customHeight="1">
      <c r="A76" s="376" t="s">
        <v>998</v>
      </c>
      <c r="B76" s="377"/>
      <c r="C76" s="570" t="str">
        <f>Traduction!A333</f>
        <v>FRAIS DE LIVRAISON France grande Pergosolar (formats autres que 2x2)</v>
      </c>
      <c r="D76" s="428"/>
      <c r="E76" s="429"/>
      <c r="F76" s="570" t="str">
        <f>Traduction!A333</f>
        <v>FRAIS DE LIVRAISON France grande Pergosolar (formats autres que 2x2)</v>
      </c>
      <c r="G76" s="428">
        <f>IF(Instructions!$J$7&lt;&gt;"Français",0,IF('Définition PERGOSOLAR'!G54="yes",IF(G77=1,0,1),0))</f>
        <v>0</v>
      </c>
      <c r="H76" s="430"/>
      <c r="I76" s="855">
        <f>G76*'Définition PERGOSOLAR'!$G$6+H76</f>
        <v>0</v>
      </c>
      <c r="K76" s="383"/>
      <c r="L76" s="77"/>
    </row>
    <row r="77" spans="1:12" ht="39.950000000000003" customHeight="1">
      <c r="A77" s="376" t="s">
        <v>999</v>
      </c>
      <c r="B77" s="377"/>
      <c r="C77" s="570" t="str">
        <f>Traduction!A334</f>
        <v>FRAIS DE LIVRAISON France petite Pergola (format 2X2)</v>
      </c>
      <c r="D77" s="428"/>
      <c r="E77" s="378"/>
      <c r="F77" s="570" t="str">
        <f>Traduction!A334</f>
        <v>FRAIS DE LIVRAISON France petite Pergola (format 2X2)</v>
      </c>
      <c r="G77" s="428">
        <f>IF(Instructions!$J$7&lt;&gt;"Français",0,IF('Définition PERGOSOLAR'!G54="yes",IF(Info!C14=Info!C2,1,IF(Info!C14=Info!C3,1,0)),0))</f>
        <v>0</v>
      </c>
      <c r="H77" s="430"/>
      <c r="I77" s="855">
        <f>G77*'Définition PERGOSOLAR'!$G$6+H77</f>
        <v>0</v>
      </c>
      <c r="K77" s="383"/>
      <c r="L77" s="77"/>
    </row>
    <row r="78" spans="1:12" ht="39.950000000000003" customHeight="1" thickBot="1">
      <c r="A78" s="379" t="s">
        <v>1436</v>
      </c>
      <c r="B78" s="380"/>
      <c r="C78" s="571" t="str">
        <f>Traduction!A390</f>
        <v>Forfait Belgique/Luxembourg</v>
      </c>
      <c r="D78" s="381"/>
      <c r="E78" s="381"/>
      <c r="F78" s="571" t="str">
        <f>Traduction!A390</f>
        <v>Forfait Belgique/Luxembourg</v>
      </c>
      <c r="G78" s="381">
        <f>IF('Définition PERGOSOLAR'!G54="Yes",IF('Définition PERGOSOLAR'!G56=Traduction!A386,1,0),0)</f>
        <v>0</v>
      </c>
      <c r="H78" s="382"/>
      <c r="I78" s="856">
        <f>G78*'Définition PERGOSOLAR'!$G$6+H78</f>
        <v>0</v>
      </c>
      <c r="K78" s="383"/>
      <c r="L78" s="77"/>
    </row>
    <row r="79" spans="1:12" ht="15.75" thickBot="1">
      <c r="A79" s="371"/>
      <c r="B79" s="371"/>
      <c r="C79" s="371"/>
      <c r="D79" s="371"/>
      <c r="E79" s="371"/>
      <c r="F79" s="853" t="str">
        <f>Traduction!A64</f>
        <v>Poids (Kg)</v>
      </c>
      <c r="G79" s="854">
        <f>E7*I7+E8*I8+E9*I9+E10*I10+E11*I11+E12*I12+E13*I13+E14*I14+E15*I15+E16*I16+E17*I17+E18*I18+E19*I19+E20*I20+E21*I21+E22*I22+E23*I23+E24*I24+E25*I25+E26*I26+E27*I27+E28*I28+E29*I29+E30*I30+E31*I31+E32*I32+E33*I33+E34*I34+E35*I35+E36*I36+E37*I37+E38*I38+E39*I39+E40*I40+E41*I41+E42*I42+E45*I45+E46*I46+E47*I47+E48*I48+E49*I49+E50*I50+E51*I51+E52*I52+E53*I53+E54*I54+E55*I55+E56*I56+E57*I57+E58*I58+E59*I59+E60*I60+E67*I67+E68*I68+E69*I69+E70*I70+E71*I71+E72*I72+E73*I73+E74*I74+E75*I75</f>
        <v>547.33000000000004</v>
      </c>
      <c r="H79" s="372"/>
      <c r="I79" s="371"/>
      <c r="K79" s="383"/>
      <c r="L79" s="77"/>
    </row>
    <row r="80" spans="1:12">
      <c r="A80" s="371"/>
      <c r="B80" s="371"/>
      <c r="C80" s="371"/>
      <c r="D80" s="371"/>
      <c r="E80" s="371"/>
      <c r="F80" s="426"/>
      <c r="G80" s="427"/>
      <c r="H80" s="372"/>
      <c r="I80" s="371"/>
      <c r="K80" s="383"/>
      <c r="L80" s="77"/>
    </row>
    <row r="81" spans="8:8">
      <c r="H81" s="12"/>
    </row>
    <row r="82" spans="8:8">
      <c r="H82" s="12"/>
    </row>
    <row r="83" spans="8:8">
      <c r="H83" s="12"/>
    </row>
    <row r="84" spans="8:8">
      <c r="H84" s="12"/>
    </row>
    <row r="85" spans="8:8">
      <c r="H85" s="12"/>
    </row>
    <row r="86" spans="8:8">
      <c r="H86" s="12"/>
    </row>
    <row r="87" spans="8:8">
      <c r="H87" s="12"/>
    </row>
    <row r="88" spans="8:8">
      <c r="H88" s="12"/>
    </row>
    <row r="89" spans="8:8">
      <c r="H89" s="12"/>
    </row>
    <row r="90" spans="8:8">
      <c r="H90" s="12"/>
    </row>
  </sheetData>
  <sheetProtection algorithmName="SHA-512" hashValue="e2QOMrfj3Vc5ji/XZWOMge3qa+7O37SyR2zhGno1rgCBzKJiVJphBuFEck6zMg763OyPODGzHerrng8CDYkAew==" saltValue="fCjoxJy+5iyAN6ImhDkkmA==" spinCount="100000" sheet="1" selectLockedCells="1"/>
  <customSheetViews>
    <customSheetView guid="{D8D7B009-33DC-454B-9FCD-4FE65C8432CF}" scale="77" zeroValues="0" fitToPage="1" printArea="1" showAutoFilter="1" topLeftCell="A43">
      <selection activeCell="B43" sqref="B43"/>
      <pageMargins left="0" right="0" top="0" bottom="0" header="0" footer="0"/>
      <pageSetup paperSize="9" scale="21" orientation="landscape" r:id="rId1"/>
      <autoFilter ref="A64:R124" xr:uid="{0D1DCD72-F524-4EBF-8A0F-026135D8F3B4}"/>
    </customSheetView>
  </customSheetViews>
  <mergeCells count="2">
    <mergeCell ref="A1:I1"/>
    <mergeCell ref="A5:I5"/>
  </mergeCells>
  <conditionalFormatting sqref="A67:F68 H67:I67 A73:F73 H73:I73 H68 A69:H70 I68:I70 A71:I71 A7:I23 I34 A26:I33 A24:C25 F24:I25 A74:I76 A35:I66">
    <cfRule type="expression" dxfId="49" priority="20">
      <formula>$I7&gt;0</formula>
    </cfRule>
  </conditionalFormatting>
  <conditionalFormatting sqref="G67:G68">
    <cfRule type="expression" dxfId="48" priority="19">
      <formula>$I67&gt;0</formula>
    </cfRule>
  </conditionalFormatting>
  <conditionalFormatting sqref="A67:I67 I68:I71">
    <cfRule type="expression" dxfId="47" priority="18">
      <formula>$I$67&gt;1</formula>
    </cfRule>
  </conditionalFormatting>
  <conditionalFormatting sqref="A72:F72 H72:I72">
    <cfRule type="expression" dxfId="46" priority="16">
      <formula>$I72&gt;0</formula>
    </cfRule>
  </conditionalFormatting>
  <conditionalFormatting sqref="G72">
    <cfRule type="expression" dxfId="45" priority="15">
      <formula>$I72&gt;0</formula>
    </cfRule>
  </conditionalFormatting>
  <conditionalFormatting sqref="G73">
    <cfRule type="expression" dxfId="44" priority="14">
      <formula>$I73&gt;0</formula>
    </cfRule>
  </conditionalFormatting>
  <conditionalFormatting sqref="A78:H78">
    <cfRule type="expression" dxfId="43" priority="8">
      <formula>$I78&gt;0</formula>
    </cfRule>
  </conditionalFormatting>
  <conditionalFormatting sqref="A77:I77 I78">
    <cfRule type="expression" dxfId="42" priority="7">
      <formula>$I77&gt;0</formula>
    </cfRule>
  </conditionalFormatting>
  <conditionalFormatting sqref="A34:C34 F34:H34">
    <cfRule type="expression" dxfId="41" priority="4">
      <formula>$I34&gt;0</formula>
    </cfRule>
  </conditionalFormatting>
  <conditionalFormatting sqref="D34:E34">
    <cfRule type="expression" dxfId="40" priority="3">
      <formula>$I34&gt;0</formula>
    </cfRule>
  </conditionalFormatting>
  <conditionalFormatting sqref="D24:E25">
    <cfRule type="expression" dxfId="39" priority="1">
      <formula>$I24&gt;0</formula>
    </cfRule>
  </conditionalFormatting>
  <pageMargins left="0" right="0" top="0" bottom="0" header="0" footer="0"/>
  <pageSetup paperSize="9" scale="25" orientation="portrait" r:id="rId2"/>
  <ignoredErrors>
    <ignoredError sqref="I66" formula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7">
    <pageSetUpPr fitToPage="1"/>
  </sheetPr>
  <dimension ref="A1:P37"/>
  <sheetViews>
    <sheetView showGridLines="0" view="pageLayout" zoomScale="95" zoomScaleNormal="98" zoomScalePageLayoutView="95" workbookViewId="0">
      <selection activeCell="E18" sqref="E18"/>
    </sheetView>
  </sheetViews>
  <sheetFormatPr baseColWidth="10" defaultColWidth="11.42578125" defaultRowHeight="15"/>
  <cols>
    <col min="1" max="1" width="3.42578125" style="408" customWidth="1"/>
    <col min="2" max="2" width="25.28515625" style="408" customWidth="1"/>
    <col min="3" max="3" width="30.85546875" style="408" customWidth="1"/>
    <col min="4" max="4" width="2" style="408" bestFit="1" customWidth="1"/>
    <col min="5" max="5" width="14.7109375" style="457" customWidth="1"/>
    <col min="6" max="6" width="2" style="457" bestFit="1" customWidth="1"/>
    <col min="7" max="7" width="14.7109375" style="457" customWidth="1"/>
    <col min="8" max="8" width="2" style="457" bestFit="1" customWidth="1"/>
    <col min="9" max="9" width="14.7109375" style="457" customWidth="1"/>
    <col min="10" max="10" width="2" style="457" bestFit="1" customWidth="1"/>
    <col min="11" max="11" width="14.7109375" style="457" customWidth="1"/>
    <col min="12" max="12" width="2" style="457" bestFit="1" customWidth="1"/>
    <col min="13" max="13" width="14.7109375" style="457" customWidth="1"/>
    <col min="14" max="14" width="3" style="457" bestFit="1" customWidth="1"/>
    <col min="15" max="15" width="14.7109375" style="457" customWidth="1"/>
    <col min="16" max="16" width="3.85546875" style="408" customWidth="1"/>
    <col min="17" max="16384" width="11.42578125" style="408"/>
  </cols>
  <sheetData>
    <row r="1" spans="1:16" ht="33" customHeight="1">
      <c r="A1" s="476"/>
      <c r="B1" s="717" t="str">
        <f>Traduction!A362</f>
        <v>Vue rapide - Définition tarifaire PERGOSOLAR IRFTS - Prix Publics HT</v>
      </c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477"/>
    </row>
    <row r="2" spans="1:16" ht="27" customHeight="1" thickBot="1">
      <c r="A2" s="478"/>
      <c r="B2" s="479"/>
      <c r="C2" s="479"/>
      <c r="D2" s="479"/>
      <c r="E2" s="724" t="s">
        <v>1720</v>
      </c>
      <c r="F2" s="724"/>
      <c r="G2" s="724"/>
      <c r="H2" s="724"/>
      <c r="I2" s="724"/>
      <c r="J2" s="480"/>
      <c r="K2" s="480"/>
      <c r="L2" s="480"/>
      <c r="M2" s="576" t="str">
        <f>'Définition PERGOSOLAR'!F3</f>
        <v>Version 3.3</v>
      </c>
      <c r="N2" s="480"/>
      <c r="O2" s="480"/>
      <c r="P2" s="481"/>
    </row>
    <row r="3" spans="1:16">
      <c r="A3" s="478"/>
      <c r="B3" s="482" t="s">
        <v>1015</v>
      </c>
      <c r="C3" s="483"/>
      <c r="D3" s="484"/>
      <c r="E3" s="485" t="s">
        <v>1016</v>
      </c>
      <c r="F3" s="486"/>
      <c r="G3" s="485" t="s">
        <v>1017</v>
      </c>
      <c r="H3" s="486"/>
      <c r="I3" s="485" t="s">
        <v>1018</v>
      </c>
      <c r="J3" s="486"/>
      <c r="K3" s="485" t="s">
        <v>1019</v>
      </c>
      <c r="L3" s="486"/>
      <c r="M3" s="485" t="s">
        <v>1020</v>
      </c>
      <c r="N3" s="486"/>
      <c r="O3" s="487" t="s">
        <v>1021</v>
      </c>
      <c r="P3" s="481"/>
    </row>
    <row r="4" spans="1:16">
      <c r="A4" s="478"/>
      <c r="B4" s="488" t="str">
        <f>Traduction!A335</f>
        <v>Surface au sol (m²)</v>
      </c>
      <c r="C4" s="412"/>
      <c r="D4" s="25"/>
      <c r="E4" s="489">
        <v>10</v>
      </c>
      <c r="F4" s="25"/>
      <c r="G4" s="489">
        <v>15</v>
      </c>
      <c r="H4" s="490"/>
      <c r="I4" s="489">
        <v>15</v>
      </c>
      <c r="J4" s="490"/>
      <c r="K4" s="489">
        <v>20</v>
      </c>
      <c r="L4" s="490"/>
      <c r="M4" s="489">
        <v>22</v>
      </c>
      <c r="N4" s="490"/>
      <c r="O4" s="491">
        <v>28</v>
      </c>
      <c r="P4" s="481"/>
    </row>
    <row r="5" spans="1:16">
      <c r="A5" s="478"/>
      <c r="B5" s="492" t="str">
        <f>Traduction!A336</f>
        <v>Puissance crête* (kWc)</v>
      </c>
      <c r="C5" s="422" t="str">
        <f>Traduction!A365</f>
        <v>Version 100% PV</v>
      </c>
      <c r="D5" s="70"/>
      <c r="E5" s="718">
        <f>4*'Définition PERGOSOLAR'!G12/1000</f>
        <v>1.2</v>
      </c>
      <c r="F5" s="493"/>
      <c r="G5" s="720">
        <f>6*'Définition PERGOSOLAR'!G12/1000</f>
        <v>1.8</v>
      </c>
      <c r="H5" s="494"/>
      <c r="I5" s="718">
        <f>6*'Définition PERGOSOLAR'!G12/1000</f>
        <v>1.8</v>
      </c>
      <c r="J5" s="493"/>
      <c r="K5" s="720">
        <f>8*'Définition PERGOSOLAR'!G12/1000</f>
        <v>2.4</v>
      </c>
      <c r="L5" s="494"/>
      <c r="M5" s="718">
        <f>9*'Définition PERGOSOLAR'!G12/1000</f>
        <v>2.7</v>
      </c>
      <c r="N5" s="493"/>
      <c r="O5" s="722">
        <f>12*'Définition PERGOSOLAR'!G12/1000</f>
        <v>3.6</v>
      </c>
      <c r="P5" s="481"/>
    </row>
    <row r="6" spans="1:16">
      <c r="A6" s="478"/>
      <c r="B6" s="207" t="str">
        <f>Traduction!A337</f>
        <v>*Puissance du module PV à renseigner dans l'onglet Définition</v>
      </c>
      <c r="C6" s="545"/>
      <c r="D6" s="495"/>
      <c r="E6" s="719"/>
      <c r="F6" s="496"/>
      <c r="G6" s="721"/>
      <c r="H6" s="539"/>
      <c r="I6" s="719"/>
      <c r="J6" s="496"/>
      <c r="K6" s="721"/>
      <c r="L6" s="539"/>
      <c r="M6" s="719"/>
      <c r="N6" s="496"/>
      <c r="O6" s="723"/>
      <c r="P6" s="481"/>
    </row>
    <row r="7" spans="1:16" ht="15.75" thickBot="1">
      <c r="A7" s="478"/>
      <c r="B7" s="497" t="str">
        <f>Traduction!A338</f>
        <v>L x l x Hauteur 2672mm (Hauteur de pied 2400mm)</v>
      </c>
      <c r="C7" s="498"/>
      <c r="D7" s="499"/>
      <c r="E7" s="500" t="s">
        <v>1022</v>
      </c>
      <c r="F7" s="501"/>
      <c r="G7" s="502" t="s">
        <v>1023</v>
      </c>
      <c r="H7" s="500"/>
      <c r="I7" s="500" t="s">
        <v>1024</v>
      </c>
      <c r="J7" s="501"/>
      <c r="K7" s="502" t="s">
        <v>1025</v>
      </c>
      <c r="L7" s="500"/>
      <c r="M7" s="500" t="s">
        <v>1026</v>
      </c>
      <c r="N7" s="501"/>
      <c r="O7" s="503" t="s">
        <v>1027</v>
      </c>
      <c r="P7" s="481"/>
    </row>
    <row r="8" spans="1:16" ht="7.5" customHeight="1" thickBot="1">
      <c r="A8" s="478"/>
      <c r="B8" s="479"/>
      <c r="C8" s="479"/>
      <c r="D8" s="479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1"/>
    </row>
    <row r="9" spans="1:16">
      <c r="A9" s="478"/>
      <c r="B9" s="482" t="str">
        <f>Traduction!A339</f>
        <v>PRIX STRUCTURE SEULE</v>
      </c>
      <c r="C9" s="504" t="str">
        <f>Traduction!A352</f>
        <v xml:space="preserve">à partir de </v>
      </c>
      <c r="D9" s="504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487"/>
      <c r="P9" s="481"/>
    </row>
    <row r="10" spans="1:16">
      <c r="A10" s="478"/>
      <c r="B10" s="488" t="str">
        <f>Traduction!A344</f>
        <v>Prix Public recommandé</v>
      </c>
      <c r="C10" s="385" t="str">
        <f>Traduction!A340</f>
        <v>Version 2 PIEDS</v>
      </c>
      <c r="D10" s="25"/>
      <c r="E10" s="506" t="e">
        <f>'Nomenclature CONFORT'!#REF!+'Nomenclature CONFORT'!#REF!+'Nomenclature CONFORT'!#REF!*2+'Nomenclature CONFORT'!#REF!+'Nomenclature CONFORT'!#REF!+'Nomenclature CONFORT'!#REF!</f>
        <v>#REF!</v>
      </c>
      <c r="F10" s="459"/>
      <c r="G10" s="507" t="e">
        <f>'Nomenclature CONFORT'!#REF!+'Nomenclature CONFORT'!#REF!+'Nomenclature CONFORT'!#REF!*2+'Nomenclature CONFORT'!#REF!+'Nomenclature CONFORT'!#REF!+'Nomenclature CONFORT'!#REF!</f>
        <v>#REF!</v>
      </c>
      <c r="H10" s="458"/>
      <c r="I10" s="506" t="e">
        <f>'Nomenclature CONFORT'!#REF!+'Nomenclature CONFORT'!#REF!+'Nomenclature CONFORT'!#REF!*3+'Nomenclature CONFORT'!#REF!+'Nomenclature CONFORT'!#REF!+'Nomenclature CONFORT'!#REF!</f>
        <v>#REF!</v>
      </c>
      <c r="J10" s="459"/>
      <c r="K10" s="507" t="e">
        <f>'Nomenclature CONFORT'!#REF!+'Nomenclature CONFORT'!#REF!+'Nomenclature CONFORT'!#REF!*4+'Nomenclature CONFORT'!#REF!+'Nomenclature CONFORT'!#REF!+'Nomenclature CONFORT'!#REF!</f>
        <v>#REF!</v>
      </c>
      <c r="L10" s="458"/>
      <c r="M10" s="506" t="e">
        <f>'Nomenclature CONFORT'!#REF!+'Nomenclature CONFORT'!#REF!+'Nomenclature CONFORT'!#REF!*3+'Nomenclature CONFORT'!#REF!+'Nomenclature CONFORT'!#REF!+'Nomenclature CONFORT'!#REF!</f>
        <v>#REF!</v>
      </c>
      <c r="N10" s="458"/>
      <c r="O10" s="508" t="e">
        <f>'Nomenclature CONFORT'!#REF!+'Nomenclature CONFORT'!#REF!+'Nomenclature CONFORT'!#REF!*4+'Nomenclature CONFORT'!#REF!+'Nomenclature CONFORT'!#REF!+'Nomenclature CONFORT'!#REF!</f>
        <v>#REF!</v>
      </c>
      <c r="P10" s="481"/>
    </row>
    <row r="11" spans="1:16" ht="15.75" thickBot="1">
      <c r="A11" s="478"/>
      <c r="B11" s="509" t="str">
        <f>Traduction!A344</f>
        <v>Prix Public recommandé</v>
      </c>
      <c r="C11" s="540" t="str">
        <f>Traduction!A341</f>
        <v>Version 4 PIEDS</v>
      </c>
      <c r="D11" s="510"/>
      <c r="E11" s="511" t="e">
        <f>'Nomenclature CONFORT'!#REF!+2*'Nomenclature CONFORT'!#REF!+'Nomenclature CONFORT'!#REF!*2+'Nomenclature CONFORT'!#REF!*2+'Nomenclature CONFORT'!#REF!</f>
        <v>#REF!</v>
      </c>
      <c r="F11" s="212"/>
      <c r="G11" s="512" t="e">
        <f>'Nomenclature CONFORT'!#REF!+2*'Nomenclature CONFORT'!#REF!+'Nomenclature CONFORT'!#REF!*2+'Nomenclature CONFORT'!#REF!*2+'Nomenclature CONFORT'!#REF!</f>
        <v>#REF!</v>
      </c>
      <c r="H11" s="513"/>
      <c r="I11" s="511" t="e">
        <f>'Nomenclature CONFORT'!#REF!+2*'Nomenclature CONFORT'!#REF!+'Nomenclature CONFORT'!#REF!*3+'Nomenclature CONFORT'!#REF!*2+'Nomenclature CONFORT'!#REF!</f>
        <v>#REF!</v>
      </c>
      <c r="J11" s="212"/>
      <c r="K11" s="512" t="e">
        <f>'Nomenclature CONFORT'!#REF!+2*'Nomenclature CONFORT'!#REF!+'Nomenclature CONFORT'!#REF!*4+'Nomenclature CONFORT'!#REF!*2+'Nomenclature CONFORT'!#REF!</f>
        <v>#REF!</v>
      </c>
      <c r="L11" s="513"/>
      <c r="M11" s="511" t="e">
        <f>'Nomenclature CONFORT'!#REF!+2*'Nomenclature CONFORT'!#REF!+'Nomenclature CONFORT'!#REF!*3+'Nomenclature CONFORT'!#REF!*2+'Nomenclature CONFORT'!#REF!</f>
        <v>#REF!</v>
      </c>
      <c r="N11" s="513"/>
      <c r="O11" s="514" t="e">
        <f>'Nomenclature CONFORT'!#REF!+2*'Nomenclature CONFORT'!#REF!+'Nomenclature CONFORT'!#REF!*4+'Nomenclature CONFORT'!#REF!*2+'Nomenclature CONFORT'!#REF!</f>
        <v>#REF!</v>
      </c>
      <c r="P11" s="481"/>
    </row>
    <row r="12" spans="1:16" ht="8.25" customHeight="1" thickBot="1">
      <c r="A12" s="478"/>
      <c r="B12" s="479"/>
      <c r="C12" s="479"/>
      <c r="D12" s="479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1"/>
    </row>
    <row r="13" spans="1:16">
      <c r="A13" s="478"/>
      <c r="B13" s="518" t="str">
        <f>Traduction!A345</f>
        <v>OPTIONS</v>
      </c>
      <c r="C13" s="519" t="str">
        <f>Traduction!A352</f>
        <v xml:space="preserve">à partir de </v>
      </c>
      <c r="D13" s="519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1"/>
      <c r="P13" s="481"/>
    </row>
    <row r="14" spans="1:16">
      <c r="A14" s="478"/>
      <c r="B14" s="492" t="str">
        <f>Traduction!A346</f>
        <v>BIOCLIMATIQUE</v>
      </c>
      <c r="C14" s="515" t="str">
        <f>Traduction!A347</f>
        <v xml:space="preserve"> (1 rangée de 5 lames + actionneur)</v>
      </c>
      <c r="D14" s="70"/>
      <c r="E14" s="522" t="e">
        <f>'Nomenclature CONFORT'!#REF!+'Nomenclature CONFORT'!#REF!-'Nomenclature CONFORT'!#REF!</f>
        <v>#REF!</v>
      </c>
      <c r="F14" s="517"/>
      <c r="G14" s="517" t="e">
        <f>'Nomenclature CONFORT'!#REF!+'Nomenclature CONFORT'!#REF!-'Nomenclature CONFORT'!#REF!</f>
        <v>#REF!</v>
      </c>
      <c r="H14" s="516"/>
      <c r="I14" s="522" t="e">
        <f>'Nomenclature CONFORT'!#REF!+'Nomenclature CONFORT'!#REF!-'Nomenclature CONFORT'!#REF!</f>
        <v>#REF!</v>
      </c>
      <c r="J14" s="517"/>
      <c r="K14" s="517" t="e">
        <f>'Nomenclature CONFORT'!#REF!+'Nomenclature CONFORT'!#REF!-'Nomenclature CONFORT'!#REF!</f>
        <v>#REF!</v>
      </c>
      <c r="L14" s="516"/>
      <c r="M14" s="522" t="e">
        <f>'Nomenclature CONFORT'!#REF!+'Nomenclature CONFORT'!#REF!-'Nomenclature CONFORT'!#REF!</f>
        <v>#REF!</v>
      </c>
      <c r="N14" s="517"/>
      <c r="O14" s="523" t="e">
        <f>'Nomenclature CONFORT'!#REF!+'Nomenclature CONFORT'!#REF!-'Nomenclature CONFORT'!#REF!</f>
        <v>#REF!</v>
      </c>
      <c r="P14" s="481"/>
    </row>
    <row r="15" spans="1:16">
      <c r="A15" s="478"/>
      <c r="B15" s="492" t="str">
        <f>Traduction!A348</f>
        <v>RUBAN LED</v>
      </c>
      <c r="C15" s="515"/>
      <c r="D15" s="70"/>
      <c r="E15" s="547" t="e">
        <f>'Nomenclature CONFORT'!#REF!</f>
        <v>#REF!</v>
      </c>
      <c r="F15" s="548"/>
      <c r="G15" s="548" t="e">
        <f>'Nomenclature CONFORT'!#REF!</f>
        <v>#REF!</v>
      </c>
      <c r="H15" s="549"/>
      <c r="I15" s="547" t="e">
        <f>'Nomenclature CONFORT'!#REF!</f>
        <v>#REF!</v>
      </c>
      <c r="J15" s="548"/>
      <c r="K15" s="548" t="e">
        <f>'Nomenclature CONFORT'!#REF!</f>
        <v>#REF!</v>
      </c>
      <c r="L15" s="549"/>
      <c r="M15" s="547" t="e">
        <f>'Nomenclature CONFORT'!#REF!</f>
        <v>#REF!</v>
      </c>
      <c r="N15" s="548"/>
      <c r="O15" s="550" t="e">
        <f>'Nomenclature CONFORT'!#REF!</f>
        <v>#REF!</v>
      </c>
      <c r="P15" s="481"/>
    </row>
    <row r="16" spans="1:16">
      <c r="A16" s="478"/>
      <c r="B16" s="492" t="str">
        <f>Traduction!A349</f>
        <v>SPOTS LED ENCASTRABLES</v>
      </c>
      <c r="C16" s="515"/>
      <c r="D16" s="70"/>
      <c r="E16" s="522" t="e">
        <f>'Nomenclature CONFORT'!#REF!</f>
        <v>#REF!</v>
      </c>
      <c r="F16" s="517"/>
      <c r="G16" s="517" t="e">
        <f>'Nomenclature CONFORT'!#REF!</f>
        <v>#REF!</v>
      </c>
      <c r="H16" s="516"/>
      <c r="I16" s="522" t="e">
        <f>'Nomenclature CONFORT'!#REF!</f>
        <v>#REF!</v>
      </c>
      <c r="J16" s="517"/>
      <c r="K16" s="517" t="e">
        <f>'Nomenclature CONFORT'!#REF!</f>
        <v>#REF!</v>
      </c>
      <c r="L16" s="516"/>
      <c r="M16" s="522" t="e">
        <f>'Nomenclature CONFORT'!#REF!</f>
        <v>#REF!</v>
      </c>
      <c r="N16" s="517"/>
      <c r="O16" s="523" t="e">
        <f>'Nomenclature CONFORT'!#REF!</f>
        <v>#REF!</v>
      </c>
      <c r="P16" s="481"/>
    </row>
    <row r="17" spans="1:16">
      <c r="A17" s="478"/>
      <c r="B17" s="492" t="str">
        <f>Traduction!A350</f>
        <v>SCREEN PERIPHERIQUE</v>
      </c>
      <c r="C17" s="515"/>
      <c r="D17" s="70"/>
      <c r="E17" s="522" t="e">
        <f>'Nomenclature CONFORT'!#REF!+'Nomenclature CONFORT'!#REF!</f>
        <v>#REF!</v>
      </c>
      <c r="F17" s="517"/>
      <c r="G17" s="517" t="e">
        <f>'Nomenclature CONFORT'!#REF!+'Nomenclature CONFORT'!#REF!</f>
        <v>#REF!</v>
      </c>
      <c r="H17" s="516"/>
      <c r="I17" s="522" t="e">
        <f>'Nomenclature CONFORT'!#REF!+'Nomenclature CONFORT'!#REF!</f>
        <v>#REF!</v>
      </c>
      <c r="J17" s="517"/>
      <c r="K17" s="517" t="e">
        <f>'Nomenclature CONFORT'!#REF!+'Nomenclature CONFORT'!#REF!</f>
        <v>#REF!</v>
      </c>
      <c r="L17" s="516"/>
      <c r="M17" s="522" t="e">
        <f>'Nomenclature CONFORT'!#REF!+'Nomenclature CONFORT'!#REF!</f>
        <v>#REF!</v>
      </c>
      <c r="N17" s="517"/>
      <c r="O17" s="523" t="e">
        <f>'Nomenclature CONFORT'!#REF!+'Nomenclature CONFORT'!#REF!</f>
        <v>#REF!</v>
      </c>
      <c r="P17" s="481"/>
    </row>
    <row r="18" spans="1:16">
      <c r="A18" s="478"/>
      <c r="B18" s="492" t="str">
        <f>Traduction!A383</f>
        <v>CLAUSTRA FIXE</v>
      </c>
      <c r="C18" s="515"/>
      <c r="D18" s="70"/>
      <c r="E18" s="522" t="e">
        <f>'Nomenclature CONFORT'!#REF!</f>
        <v>#REF!</v>
      </c>
      <c r="F18" s="517"/>
      <c r="G18" s="517" t="e">
        <f>'Nomenclature CONFORT'!#REF!</f>
        <v>#REF!</v>
      </c>
      <c r="H18" s="516"/>
      <c r="I18" s="522" t="e">
        <f>'Nomenclature CONFORT'!#REF!</f>
        <v>#REF!</v>
      </c>
      <c r="J18" s="517"/>
      <c r="K18" s="517" t="e">
        <f>'Nomenclature CONFORT'!#REF!</f>
        <v>#REF!</v>
      </c>
      <c r="L18" s="516"/>
      <c r="M18" s="522" t="e">
        <f>'Nomenclature CONFORT'!#REF!</f>
        <v>#REF!</v>
      </c>
      <c r="N18" s="517"/>
      <c r="O18" s="523" t="e">
        <f>'Nomenclature CONFORT'!#REF!</f>
        <v>#REF!</v>
      </c>
      <c r="P18" s="481"/>
    </row>
    <row r="19" spans="1:16">
      <c r="A19" s="478"/>
      <c r="B19" s="492" t="str">
        <f>Traduction!A384</f>
        <v>CLAUSTRA COULISSANT</v>
      </c>
      <c r="C19" s="515"/>
      <c r="D19" s="70"/>
      <c r="E19" s="522" t="e">
        <f>'Nomenclature CONFORT'!#REF!+'Nomenclature CONFORT'!#REF!</f>
        <v>#REF!</v>
      </c>
      <c r="F19" s="517"/>
      <c r="G19" s="517" t="e">
        <f>'Nomenclature CONFORT'!#REF!+'Nomenclature CONFORT'!#REF!</f>
        <v>#REF!</v>
      </c>
      <c r="H19" s="516"/>
      <c r="I19" s="522" t="e">
        <f>'Nomenclature CONFORT'!#REF!+'Nomenclature CONFORT'!#REF!</f>
        <v>#REF!</v>
      </c>
      <c r="J19" s="517"/>
      <c r="K19" s="517" t="e">
        <f>'Nomenclature CONFORT'!#REF!+'Nomenclature CONFORT'!#REF!</f>
        <v>#REF!</v>
      </c>
      <c r="L19" s="516"/>
      <c r="M19" s="522" t="e">
        <f>'Nomenclature CONFORT'!#REF!+'Nomenclature CONFORT'!#REF!</f>
        <v>#REF!</v>
      </c>
      <c r="N19" s="517"/>
      <c r="O19" s="523" t="e">
        <f>'Nomenclature CONFORT'!#REF!+'Nomenclature CONFORT'!#REF!</f>
        <v>#REF!</v>
      </c>
      <c r="P19" s="481"/>
    </row>
    <row r="20" spans="1:16">
      <c r="A20" s="478"/>
      <c r="B20" s="492" t="str">
        <f>Traduction!A369</f>
        <v>PILOTAGE PAR SMARTPHONE</v>
      </c>
      <c r="C20" s="515"/>
      <c r="D20" s="70"/>
      <c r="E20" s="522" t="e">
        <f>'Nomenclature CONFORT'!#REF!</f>
        <v>#REF!</v>
      </c>
      <c r="F20" s="517"/>
      <c r="G20" s="517" t="e">
        <f>'Nomenclature CONFORT'!#REF!</f>
        <v>#REF!</v>
      </c>
      <c r="H20" s="516"/>
      <c r="I20" s="522" t="e">
        <f>'Nomenclature CONFORT'!#REF!</f>
        <v>#REF!</v>
      </c>
      <c r="J20" s="517"/>
      <c r="K20" s="517" t="e">
        <f>'Nomenclature CONFORT'!#REF!</f>
        <v>#REF!</v>
      </c>
      <c r="L20" s="516"/>
      <c r="M20" s="522" t="e">
        <f>'Nomenclature CONFORT'!#REF!</f>
        <v>#REF!</v>
      </c>
      <c r="N20" s="517"/>
      <c r="O20" s="523" t="e">
        <f>'Nomenclature CONFORT'!#REF!</f>
        <v>#REF!</v>
      </c>
      <c r="P20" s="481"/>
    </row>
    <row r="21" spans="1:16">
      <c r="A21" s="478"/>
      <c r="B21" s="492" t="str">
        <f>Traduction!A351</f>
        <v>SOUS-FACE</v>
      </c>
      <c r="C21" s="515"/>
      <c r="D21" s="70"/>
      <c r="E21" s="522" t="e">
        <f>2*'Nomenclature CONFORT'!#REF!+2*'Nomenclature CONFORT'!#REF!</f>
        <v>#REF!</v>
      </c>
      <c r="F21" s="517"/>
      <c r="G21" s="517" t="e">
        <f>4*'Nomenclature CONFORT'!#REF!+4*'Nomenclature CONFORT'!#REF!</f>
        <v>#REF!</v>
      </c>
      <c r="H21" s="516"/>
      <c r="I21" s="522" t="e">
        <f>3*'Nomenclature CONFORT'!#REF!+3*'Nomenclature CONFORT'!#REF!</f>
        <v>#REF!</v>
      </c>
      <c r="J21" s="517"/>
      <c r="K21" s="517" t="e">
        <f>4*'Nomenclature CONFORT'!#REF!+4*'Nomenclature CONFORT'!#REF!</f>
        <v>#REF!</v>
      </c>
      <c r="L21" s="516"/>
      <c r="M21" s="522" t="e">
        <f>6*'Nomenclature CONFORT'!#REF!+6*'Nomenclature CONFORT'!#REF!</f>
        <v>#REF!</v>
      </c>
      <c r="N21" s="517"/>
      <c r="O21" s="523" t="e">
        <f>8*'Nomenclature CONFORT'!#REF!+8*'Nomenclature CONFORT'!#REF!</f>
        <v>#REF!</v>
      </c>
      <c r="P21" s="481"/>
    </row>
    <row r="22" spans="1:16" ht="15.75" thickBot="1">
      <c r="A22" s="478"/>
      <c r="B22" s="497" t="str">
        <f>Traduction!A385</f>
        <v xml:space="preserve">KIT JUMELAGE </v>
      </c>
      <c r="C22" s="540"/>
      <c r="D22" s="499"/>
      <c r="E22" s="541" t="e">
        <f>'Nomenclature CONFORT'!#REF!</f>
        <v>#REF!</v>
      </c>
      <c r="F22" s="542"/>
      <c r="G22" s="542" t="e">
        <f>'Nomenclature CONFORT'!#REF!</f>
        <v>#REF!</v>
      </c>
      <c r="H22" s="543"/>
      <c r="I22" s="541" t="e">
        <f>'Nomenclature CONFORT'!#REF!</f>
        <v>#REF!</v>
      </c>
      <c r="J22" s="542"/>
      <c r="K22" s="542" t="e">
        <f>'Nomenclature CONFORT'!#REF!</f>
        <v>#REF!</v>
      </c>
      <c r="L22" s="543"/>
      <c r="M22" s="541" t="e">
        <f>'Nomenclature CONFORT'!#REF!</f>
        <v>#REF!</v>
      </c>
      <c r="N22" s="542"/>
      <c r="O22" s="544" t="e">
        <f>'Nomenclature CONFORT'!#REF!</f>
        <v>#REF!</v>
      </c>
      <c r="P22" s="481"/>
    </row>
    <row r="23" spans="1:16" ht="7.5" customHeight="1" thickBot="1">
      <c r="A23" s="478"/>
      <c r="B23" s="479"/>
      <c r="C23" s="479"/>
      <c r="D23" s="479"/>
      <c r="E23" s="480"/>
      <c r="F23" s="480"/>
      <c r="G23" s="480"/>
      <c r="H23" s="480"/>
      <c r="I23" s="480"/>
      <c r="J23" s="480"/>
      <c r="K23" s="480"/>
      <c r="L23" s="480"/>
      <c r="M23" s="480"/>
      <c r="N23" s="480"/>
      <c r="O23" s="480"/>
      <c r="P23" s="481"/>
    </row>
    <row r="24" spans="1:16" ht="15.75" thickBot="1">
      <c r="A24" s="478"/>
      <c r="B24" s="525" t="str">
        <f>Traduction!A353</f>
        <v>TARIF LIVRAISON (France continentale uniquement)</v>
      </c>
      <c r="C24" s="526"/>
      <c r="D24" s="527"/>
      <c r="E24" s="528" t="e">
        <f>'Nomenclature CONFORT'!#REF!</f>
        <v>#REF!</v>
      </c>
      <c r="F24" s="529"/>
      <c r="G24" s="528" t="e">
        <f>'Nomenclature CONFORT'!#REF!</f>
        <v>#REF!</v>
      </c>
      <c r="H24" s="530"/>
      <c r="I24" s="530" t="e">
        <f>'Nomenclature CONFORT'!#REF!</f>
        <v>#REF!</v>
      </c>
      <c r="J24" s="529"/>
      <c r="K24" s="528" t="e">
        <f>'Nomenclature CONFORT'!#REF!</f>
        <v>#REF!</v>
      </c>
      <c r="L24" s="530"/>
      <c r="M24" s="530" t="e">
        <f>'Nomenclature CONFORT'!#REF!</f>
        <v>#REF!</v>
      </c>
      <c r="N24" s="529"/>
      <c r="O24" s="531" t="e">
        <f>'Nomenclature CONFORT'!#REF!</f>
        <v>#REF!</v>
      </c>
      <c r="P24" s="481"/>
    </row>
    <row r="25" spans="1:16" ht="7.5" customHeight="1" thickBot="1">
      <c r="A25" s="478"/>
      <c r="B25" s="479"/>
      <c r="C25" s="479"/>
      <c r="D25" s="479"/>
      <c r="E25" s="532"/>
      <c r="F25" s="532"/>
      <c r="G25" s="532"/>
      <c r="H25" s="532"/>
      <c r="I25" s="532"/>
      <c r="J25" s="532"/>
      <c r="K25" s="532"/>
      <c r="L25" s="532"/>
      <c r="M25" s="532"/>
      <c r="N25" s="532"/>
      <c r="O25" s="532"/>
      <c r="P25" s="481"/>
    </row>
    <row r="26" spans="1:16">
      <c r="A26" s="478"/>
      <c r="B26" s="706" t="str">
        <f>Traduction!A356</f>
        <v>Ce document est purement informatif et ne peut être tenu pour une base contractuelle</v>
      </c>
      <c r="C26" s="707"/>
      <c r="D26" s="707"/>
      <c r="E26" s="707"/>
      <c r="F26" s="707"/>
      <c r="G26" s="707"/>
      <c r="H26" s="707"/>
      <c r="I26" s="707"/>
      <c r="J26" s="707"/>
      <c r="K26" s="707"/>
      <c r="L26" s="707"/>
      <c r="M26" s="707"/>
      <c r="N26" s="707"/>
      <c r="O26" s="708"/>
      <c r="P26" s="481"/>
    </row>
    <row r="27" spans="1:16">
      <c r="A27" s="478"/>
      <c r="B27" s="709" t="str">
        <f>Traduction!A357</f>
        <v>Pour plus de précision, merci de remplir l'onglet "Définition Pergosolar"</v>
      </c>
      <c r="C27" s="710"/>
      <c r="D27" s="710"/>
      <c r="E27" s="710"/>
      <c r="F27" s="710"/>
      <c r="G27" s="710"/>
      <c r="H27" s="710"/>
      <c r="I27" s="710"/>
      <c r="J27" s="710"/>
      <c r="K27" s="710"/>
      <c r="L27" s="710"/>
      <c r="M27" s="710"/>
      <c r="N27" s="710"/>
      <c r="O27" s="711"/>
      <c r="P27" s="481"/>
    </row>
    <row r="28" spans="1:16">
      <c r="A28" s="478"/>
      <c r="B28" s="709" t="str">
        <f>Traduction!A358</f>
        <v xml:space="preserve">Pour tout renseignement, contactez notre service commercial : </v>
      </c>
      <c r="C28" s="710"/>
      <c r="D28" s="710"/>
      <c r="E28" s="710"/>
      <c r="F28" s="710"/>
      <c r="G28" s="710"/>
      <c r="H28" s="710"/>
      <c r="I28" s="710"/>
      <c r="J28" s="710"/>
      <c r="K28" s="710"/>
      <c r="L28" s="710"/>
      <c r="M28" s="710"/>
      <c r="N28" s="710"/>
      <c r="O28" s="711"/>
      <c r="P28" s="481"/>
    </row>
    <row r="29" spans="1:16" ht="15.75" thickBot="1">
      <c r="A29" s="478"/>
      <c r="B29" s="712" t="str">
        <f>Traduction!A359</f>
        <v xml:space="preserve">commercial.france@irfts.com </v>
      </c>
      <c r="C29" s="713"/>
      <c r="D29" s="713"/>
      <c r="E29" s="713"/>
      <c r="F29" s="713"/>
      <c r="G29" s="713"/>
      <c r="H29" s="713"/>
      <c r="I29" s="713"/>
      <c r="J29" s="713"/>
      <c r="K29" s="713"/>
      <c r="L29" s="713"/>
      <c r="M29" s="713"/>
      <c r="N29" s="713"/>
      <c r="O29" s="714"/>
      <c r="P29" s="481"/>
    </row>
    <row r="30" spans="1:16">
      <c r="A30" s="478"/>
      <c r="B30" s="365"/>
      <c r="C30" s="538"/>
      <c r="D30" s="538"/>
      <c r="E30" s="539"/>
      <c r="F30" s="539"/>
      <c r="G30" s="539"/>
      <c r="H30" s="539"/>
      <c r="I30" s="539"/>
      <c r="J30" s="539"/>
      <c r="K30" s="539"/>
      <c r="L30" s="539"/>
      <c r="M30" s="539"/>
      <c r="N30" s="539"/>
      <c r="O30" s="150"/>
      <c r="P30" s="481"/>
    </row>
    <row r="31" spans="1:16">
      <c r="A31" s="478"/>
      <c r="B31" s="715" t="str">
        <f>Traduction!A360</f>
        <v>IMPLANTATION ET ORIENTATION DES FORMATS</v>
      </c>
      <c r="C31" s="716"/>
      <c r="O31" s="150"/>
      <c r="P31" s="481"/>
    </row>
    <row r="32" spans="1:16">
      <c r="A32" s="478"/>
      <c r="B32" s="715"/>
      <c r="C32" s="716"/>
      <c r="O32" s="150"/>
      <c r="P32" s="481"/>
    </row>
    <row r="33" spans="1:16">
      <c r="A33" s="478"/>
      <c r="B33" s="715"/>
      <c r="C33" s="716"/>
      <c r="O33" s="150"/>
      <c r="P33" s="481"/>
    </row>
    <row r="34" spans="1:16" ht="15.75" thickBot="1">
      <c r="A34" s="478"/>
      <c r="B34" s="509"/>
      <c r="C34" s="228"/>
      <c r="D34" s="228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4"/>
      <c r="P34" s="481"/>
    </row>
    <row r="35" spans="1:16" ht="19.5" customHeight="1" thickBot="1">
      <c r="A35" s="533"/>
      <c r="B35" s="534"/>
      <c r="C35" s="534"/>
      <c r="D35" s="534"/>
      <c r="E35" s="535"/>
      <c r="F35" s="535"/>
      <c r="G35" s="535"/>
      <c r="H35" s="535"/>
      <c r="I35" s="535"/>
      <c r="J35" s="535"/>
      <c r="K35" s="535"/>
      <c r="L35" s="535"/>
      <c r="M35" s="535"/>
      <c r="N35" s="535"/>
      <c r="O35" s="535"/>
      <c r="P35" s="536"/>
    </row>
    <row r="37" spans="1:16">
      <c r="E37" s="524"/>
      <c r="F37" s="524"/>
      <c r="G37" s="524"/>
      <c r="H37" s="524"/>
      <c r="I37" s="524"/>
      <c r="J37" s="524"/>
      <c r="K37" s="524"/>
      <c r="L37" s="524"/>
      <c r="M37" s="524"/>
      <c r="N37" s="524"/>
      <c r="O37" s="524"/>
    </row>
  </sheetData>
  <sheetProtection algorithmName="SHA-512" hashValue="enbR7mr/U+eqBGQoPN0s5Ou9JBKkpXUc1+s5KWcy4hyyYC+lpIx2HFx+5jLZOEY/1bnag0jlUyWZ7mywI2bwIA==" saltValue="e9HIEpwIcnLGRJd6K4I6WA==" spinCount="100000" sheet="1" objects="1" scenarios="1"/>
  <mergeCells count="13">
    <mergeCell ref="B1:O1"/>
    <mergeCell ref="E5:E6"/>
    <mergeCell ref="G5:G6"/>
    <mergeCell ref="I5:I6"/>
    <mergeCell ref="K5:K6"/>
    <mergeCell ref="M5:M6"/>
    <mergeCell ref="O5:O6"/>
    <mergeCell ref="E2:I2"/>
    <mergeCell ref="B26:O26"/>
    <mergeCell ref="B27:O27"/>
    <mergeCell ref="B28:O28"/>
    <mergeCell ref="B29:O29"/>
    <mergeCell ref="B31:C33"/>
  </mergeCells>
  <pageMargins left="0.25" right="0.25" top="0.75" bottom="0.75" header="0.3" footer="0.3"/>
  <pageSetup paperSize="9" scale="86" orientation="landscape" r:id="rId1"/>
  <headerFooter>
    <oddHeader>&amp;C&amp;D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36F1D4-BA05-4D49-96EF-A0B37862129E}">
            <xm:f>Instructions!$J$7&lt;&gt;"Français"</xm:f>
            <x14:dxf>
              <fill>
                <patternFill>
                  <bgColor theme="1"/>
                </patternFill>
              </fill>
            </x14:dxf>
          </x14:cfRule>
          <xm:sqref>B24:O24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00D39-8E70-4827-8645-426CD3E7ACD3}">
  <sheetPr codeName="Feuil8"/>
  <dimension ref="A1:N86"/>
  <sheetViews>
    <sheetView showGridLines="0" showZeros="0" zoomScale="70" zoomScaleNormal="70" zoomScaleSheetLayoutView="55" workbookViewId="0">
      <selection activeCell="B70" sqref="B70"/>
    </sheetView>
  </sheetViews>
  <sheetFormatPr baseColWidth="10" defaultColWidth="11.42578125" defaultRowHeight="15"/>
  <cols>
    <col min="1" max="1" width="21.42578125" style="2" customWidth="1"/>
    <col min="2" max="2" width="25.42578125" style="2" customWidth="1"/>
    <col min="3" max="3" width="42.85546875" style="2" customWidth="1"/>
    <col min="4" max="4" width="17.140625" style="2" customWidth="1"/>
    <col min="5" max="5" width="11.42578125" style="2" customWidth="1"/>
    <col min="6" max="6" width="81.5703125" style="2" customWidth="1"/>
    <col min="7" max="7" width="16.85546875" style="2" customWidth="1"/>
    <col min="8" max="8" width="15.5703125" style="2" customWidth="1"/>
    <col min="9" max="9" width="15.7109375" style="2" customWidth="1"/>
    <col min="10" max="10" width="24" style="2" customWidth="1"/>
    <col min="11" max="12" width="11.42578125" style="2"/>
    <col min="13" max="13" width="17" style="2" customWidth="1"/>
    <col min="14" max="17" width="11.42578125" style="2"/>
    <col min="18" max="23" width="15.7109375" style="2" customWidth="1"/>
    <col min="24" max="30" width="11.42578125" style="2"/>
    <col min="31" max="31" width="11.42578125" style="2" customWidth="1"/>
    <col min="32" max="16384" width="11.42578125" style="2"/>
  </cols>
  <sheetData>
    <row r="1" spans="1:13" ht="58.5" customHeight="1">
      <c r="A1" s="691" t="str">
        <f>Traduction!A393</f>
        <v>NOMENCLATURE PERGOSOLAR HARMONY</v>
      </c>
      <c r="B1" s="692"/>
      <c r="C1" s="692"/>
      <c r="D1" s="692"/>
      <c r="E1" s="692"/>
      <c r="F1" s="692"/>
      <c r="G1" s="692"/>
      <c r="H1" s="692"/>
      <c r="I1" s="692"/>
      <c r="K1" s="383"/>
      <c r="L1" s="408"/>
      <c r="M1" s="408"/>
    </row>
    <row r="2" spans="1:13">
      <c r="A2" s="2" t="str">
        <f>'Définition PERGOSOLAR'!F3</f>
        <v>Version 3.3</v>
      </c>
    </row>
    <row r="4" spans="1:13" ht="35.1" customHeight="1" thickBot="1">
      <c r="A4" s="616" t="str">
        <f>Traduction!A11</f>
        <v>Les indications tarifaires ci-dessous n'incluent ni les modules, ni les fixations au sol et au mur</v>
      </c>
      <c r="F4" s="58"/>
      <c r="K4" s="383"/>
      <c r="L4" s="77"/>
    </row>
    <row r="5" spans="1:13" ht="30" customHeight="1" thickBot="1">
      <c r="A5" s="703" t="str">
        <f>Traduction!A29</f>
        <v>Nomenclature IRFTS</v>
      </c>
      <c r="B5" s="704"/>
      <c r="C5" s="704"/>
      <c r="D5" s="704"/>
      <c r="E5" s="704"/>
      <c r="F5" s="704"/>
      <c r="G5" s="704"/>
      <c r="H5" s="704"/>
      <c r="I5" s="705"/>
      <c r="K5" s="383"/>
      <c r="L5" s="77"/>
    </row>
    <row r="6" spans="1:13" s="368" customFormat="1" ht="63.75" customHeight="1" thickBot="1">
      <c r="A6" s="401" t="str">
        <f>Traduction!A31</f>
        <v>Référence</v>
      </c>
      <c r="B6" s="401" t="str">
        <f>Traduction!A32</f>
        <v>Référence distributeur</v>
      </c>
      <c r="C6" s="401" t="str">
        <f>Traduction!A37</f>
        <v>Désignation</v>
      </c>
      <c r="D6" s="402" t="str">
        <f>Traduction!A35</f>
        <v>Dimensions colis</v>
      </c>
      <c r="E6" s="402" t="str">
        <f>Traduction!A36</f>
        <v>Poids (Kg)</v>
      </c>
      <c r="F6" s="402" t="str">
        <f>Traduction!A33</f>
        <v>Description produit</v>
      </c>
      <c r="G6" s="403" t="str">
        <f>Traduction!A39</f>
        <v>Qté /Pergola</v>
      </c>
      <c r="H6" s="403" t="str">
        <f>Traduction!A143</f>
        <v>Complément</v>
      </c>
      <c r="I6" s="403" t="str">
        <f>Traduction!A38</f>
        <v>Qté Totale</v>
      </c>
      <c r="K6" s="383"/>
      <c r="L6" s="77"/>
      <c r="M6" s="577"/>
    </row>
    <row r="7" spans="1:13" s="622" customFormat="1" ht="39.950000000000003" customHeight="1">
      <c r="A7" s="617" t="s">
        <v>1535</v>
      </c>
      <c r="B7" s="618"/>
      <c r="C7" s="619" t="str">
        <f>Traduction!A401</f>
        <v>PG HARMONY STRUCTURE 2x2 7016 MAT</v>
      </c>
      <c r="D7" s="620" t="s">
        <v>1842</v>
      </c>
      <c r="E7" s="621">
        <v>200</v>
      </c>
      <c r="F7" s="619" t="str">
        <f>Traduction!A413</f>
        <v>kit structure pour une pergola HARMONY 2x2
couleur  : 7016 Mat</v>
      </c>
      <c r="G7" s="620">
        <f>IF('Définition PERGOSOLAR'!G16=7016,IF('Définition PERGOSOLAR'!G$15="2x2 2 Pieds",1,IF('Définition PERGOSOLAR'!G15="2x2 4 Pieds",1,0)),0)</f>
        <v>0</v>
      </c>
      <c r="H7" s="650"/>
      <c r="I7" s="857">
        <f>G7*'Définition PERGOSOLAR'!$G$6+H7</f>
        <v>0</v>
      </c>
      <c r="K7" s="623"/>
      <c r="L7" s="624"/>
      <c r="M7" s="625"/>
    </row>
    <row r="8" spans="1:13" s="622" customFormat="1" ht="39.950000000000003" customHeight="1">
      <c r="A8" s="617" t="s">
        <v>1724</v>
      </c>
      <c r="B8" s="618"/>
      <c r="C8" s="619" t="str">
        <f>Traduction!A402</f>
        <v>PG HARMONY STRUCTURE 2x2 9010 BRILLANT</v>
      </c>
      <c r="D8" s="620" t="s">
        <v>1842</v>
      </c>
      <c r="E8" s="621">
        <v>200</v>
      </c>
      <c r="F8" s="619" t="str">
        <f>Traduction!A414</f>
        <v>kit structure pour une pergola HARMONY 2x2
couleur  : 9010 brillant</v>
      </c>
      <c r="G8" s="620">
        <f>IF('Définition PERGOSOLAR'!G16=9010,IF('Définition PERGOSOLAR'!G$15="2x2 2 Pieds",1,IF('Définition PERGOSOLAR'!G15="2x2 4 Pieds",1,0)),0)</f>
        <v>0</v>
      </c>
      <c r="H8" s="650"/>
      <c r="I8" s="857">
        <f>G8*'Définition PERGOSOLAR'!$G$6+H8</f>
        <v>0</v>
      </c>
      <c r="K8" s="623"/>
      <c r="L8" s="624"/>
      <c r="M8" s="625"/>
    </row>
    <row r="9" spans="1:13" s="622" customFormat="1" ht="39.950000000000003" customHeight="1">
      <c r="A9" s="617" t="s">
        <v>1725</v>
      </c>
      <c r="B9" s="618"/>
      <c r="C9" s="619" t="str">
        <f>Traduction!A403</f>
        <v>PG HARMONY STRUCTURE 2x3 7016 MAT</v>
      </c>
      <c r="D9" s="620" t="s">
        <v>1843</v>
      </c>
      <c r="E9" s="621">
        <v>250</v>
      </c>
      <c r="F9" s="619" t="str">
        <f>Traduction!A415</f>
        <v>kit structure pour une pergola HARMONY 2x3
couleur  : 7016 Mat</v>
      </c>
      <c r="G9" s="620">
        <f>IF('Définition PERGOSOLAR'!G16=7016,IF('Définition PERGOSOLAR'!G$15="2x3 2 Pieds",1,IF('Définition PERGOSOLAR'!G15="2x3 4 Pieds",1,0)),0)</f>
        <v>0</v>
      </c>
      <c r="H9" s="650"/>
      <c r="I9" s="857">
        <f>G9*'Définition PERGOSOLAR'!$G$6+H9</f>
        <v>0</v>
      </c>
      <c r="K9" s="623"/>
      <c r="L9" s="624"/>
      <c r="M9" s="625"/>
    </row>
    <row r="10" spans="1:13" s="622" customFormat="1" ht="39.950000000000003" customHeight="1">
      <c r="A10" s="617" t="s">
        <v>1726</v>
      </c>
      <c r="B10" s="618"/>
      <c r="C10" s="619" t="str">
        <f>Traduction!A404</f>
        <v>PG HARMONY STRUCTURE 2x3 9010 BRILLANT</v>
      </c>
      <c r="D10" s="620" t="s">
        <v>1843</v>
      </c>
      <c r="E10" s="621">
        <v>250</v>
      </c>
      <c r="F10" s="619" t="str">
        <f>Traduction!A416</f>
        <v>kit structure pour une pergola HARMONY 2x3
couleur  : 9010 brillant</v>
      </c>
      <c r="G10" s="620">
        <f>IF('Définition PERGOSOLAR'!G16=9010,IF('Définition PERGOSOLAR'!G$15="2x3 2 Pieds",1,IF('Définition PERGOSOLAR'!G15="2x3 4 Pieds",1,0)),0)</f>
        <v>0</v>
      </c>
      <c r="H10" s="650"/>
      <c r="I10" s="857">
        <f>G10*'Définition PERGOSOLAR'!$G$6+H10</f>
        <v>0</v>
      </c>
      <c r="K10" s="623"/>
      <c r="L10" s="624"/>
      <c r="M10" s="625"/>
    </row>
    <row r="11" spans="1:13" s="622" customFormat="1" ht="39.950000000000003" customHeight="1">
      <c r="A11" s="617" t="s">
        <v>1727</v>
      </c>
      <c r="B11" s="618"/>
      <c r="C11" s="619" t="str">
        <f>Traduction!A405</f>
        <v>PG HARMONY STRUCTURE 3x2 7016 MAT</v>
      </c>
      <c r="D11" s="620" t="s">
        <v>1844</v>
      </c>
      <c r="E11" s="621">
        <v>220</v>
      </c>
      <c r="F11" s="619" t="str">
        <f>Traduction!A417</f>
        <v>kit structure pour une pergola HARMONY 3x2
couleur  : 7016 Mat</v>
      </c>
      <c r="G11" s="620">
        <f>IF('Définition PERGOSOLAR'!G16=7016,IF('Définition PERGOSOLAR'!G$15="3x2 2 Pieds",1,IF('Définition PERGOSOLAR'!G15="3x2 4 Pieds",1,0)),0)</f>
        <v>0</v>
      </c>
      <c r="H11" s="650"/>
      <c r="I11" s="857">
        <f>G11*'Définition PERGOSOLAR'!$G$6+H11</f>
        <v>0</v>
      </c>
      <c r="K11" s="623"/>
      <c r="L11" s="624"/>
      <c r="M11" s="625"/>
    </row>
    <row r="12" spans="1:13" s="622" customFormat="1" ht="39.950000000000003" customHeight="1">
      <c r="A12" s="617" t="s">
        <v>1728</v>
      </c>
      <c r="B12" s="618"/>
      <c r="C12" s="619" t="str">
        <f>Traduction!A406</f>
        <v xml:space="preserve">PG HARMONY STRUCTURE 3x2 9010 </v>
      </c>
      <c r="D12" s="620" t="s">
        <v>1844</v>
      </c>
      <c r="E12" s="621">
        <v>220</v>
      </c>
      <c r="F12" s="619" t="str">
        <f>Traduction!A418</f>
        <v>kit structure pour une pergola HARMONY 3x2
couleur  : 9010 brillant</v>
      </c>
      <c r="G12" s="620">
        <f>IF('Définition PERGOSOLAR'!G16=9010,IF('Définition PERGOSOLAR'!G$15="3x2 2 Pieds",1,IF('Définition PERGOSOLAR'!G15="3x2 4 Pieds",1,0)),0)</f>
        <v>0</v>
      </c>
      <c r="H12" s="650"/>
      <c r="I12" s="857">
        <f>G12*'Définition PERGOSOLAR'!$G$6+H12</f>
        <v>0</v>
      </c>
      <c r="K12" s="623"/>
      <c r="L12" s="624"/>
      <c r="M12" s="625"/>
    </row>
    <row r="13" spans="1:13" s="622" customFormat="1" ht="39.950000000000003" customHeight="1">
      <c r="A13" s="617" t="s">
        <v>1729</v>
      </c>
      <c r="B13" s="618"/>
      <c r="C13" s="619" t="str">
        <f>Traduction!A407</f>
        <v>PG HARMONY STRUCTURE 3x3 7016 MAT</v>
      </c>
      <c r="D13" s="620" t="s">
        <v>1843</v>
      </c>
      <c r="E13" s="621">
        <v>280</v>
      </c>
      <c r="F13" s="619" t="str">
        <f>Traduction!A419</f>
        <v>kit structure pour une pergola HARMONY 3x3
couleur  : 7016 Mat</v>
      </c>
      <c r="G13" s="620">
        <f>IF('Définition PERGOSOLAR'!G16=7016,IF('Définition PERGOSOLAR'!G$15="3x3 2 Pieds",1,IF('Définition PERGOSOLAR'!G15="3x3 4 Pieds",1,0)),0)</f>
        <v>1</v>
      </c>
      <c r="H13" s="650"/>
      <c r="I13" s="857">
        <f>G13*'Définition PERGOSOLAR'!$G$6+H13</f>
        <v>1</v>
      </c>
      <c r="K13" s="623"/>
      <c r="L13" s="624"/>
      <c r="M13" s="625"/>
    </row>
    <row r="14" spans="1:13" s="622" customFormat="1" ht="39.950000000000003" customHeight="1">
      <c r="A14" s="617" t="s">
        <v>1730</v>
      </c>
      <c r="B14" s="618"/>
      <c r="C14" s="619" t="str">
        <f>Traduction!A408</f>
        <v>PG HARMONY STRUCTURE 3x3 9010 BRILLANT</v>
      </c>
      <c r="D14" s="620" t="s">
        <v>1843</v>
      </c>
      <c r="E14" s="621">
        <v>280</v>
      </c>
      <c r="F14" s="619" t="str">
        <f>Traduction!A420</f>
        <v>kit structure pour une pergola HARMONY 3x3
couleur  : 9010 brillant</v>
      </c>
      <c r="G14" s="620">
        <f>IF('Définition PERGOSOLAR'!G16=9010,IF('Définition PERGOSOLAR'!G$15="3x3 2 Pieds",1,IF('Définition PERGOSOLAR'!G15="3x3 4 Pieds",1,0)),0)</f>
        <v>0</v>
      </c>
      <c r="H14" s="650"/>
      <c r="I14" s="857">
        <f>G14*'Définition PERGOSOLAR'!$G$6+H14</f>
        <v>0</v>
      </c>
      <c r="K14" s="623"/>
      <c r="L14" s="624"/>
      <c r="M14" s="625"/>
    </row>
    <row r="15" spans="1:13" s="622" customFormat="1" ht="39.950000000000003" customHeight="1">
      <c r="A15" s="617" t="s">
        <v>1731</v>
      </c>
      <c r="B15" s="618"/>
      <c r="C15" s="619" t="str">
        <f>Traduction!A409</f>
        <v>PG HARMONY STRUCTURE 4x2 7016 MAT</v>
      </c>
      <c r="D15" s="620" t="s">
        <v>1843</v>
      </c>
      <c r="E15" s="621">
        <v>275</v>
      </c>
      <c r="F15" s="619" t="str">
        <f>Traduction!A421</f>
        <v>kit structure pour une pergola HARMONY 4x2
couleur  : 7016 Mat</v>
      </c>
      <c r="G15" s="620">
        <f>IF('Définition PERGOSOLAR'!G16=7016,IF('Définition PERGOSOLAR'!G$15="4x2 2 Pieds",1,IF('Définition PERGOSOLAR'!G15="4x2 4 Pieds",1,0)),0)</f>
        <v>0</v>
      </c>
      <c r="H15" s="650"/>
      <c r="I15" s="857">
        <f>G15*'Définition PERGOSOLAR'!$G$6+H15</f>
        <v>0</v>
      </c>
      <c r="K15" s="623"/>
      <c r="L15" s="624"/>
      <c r="M15" s="625"/>
    </row>
    <row r="16" spans="1:13" s="622" customFormat="1" ht="39.950000000000003" customHeight="1">
      <c r="A16" s="617" t="s">
        <v>1732</v>
      </c>
      <c r="B16" s="618"/>
      <c r="C16" s="619" t="str">
        <f>Traduction!A410</f>
        <v>PG HARMONY STRUCTURE 4x2 9010 BRILLANT</v>
      </c>
      <c r="D16" s="620" t="s">
        <v>1843</v>
      </c>
      <c r="E16" s="621">
        <v>275</v>
      </c>
      <c r="F16" s="619" t="str">
        <f>Traduction!A422</f>
        <v>kit structure pour une pergola HARMONY 4x2
couleur  : 9010 brillant</v>
      </c>
      <c r="G16" s="620">
        <f>IF('Définition PERGOSOLAR'!G16=9010,IF('Définition PERGOSOLAR'!G$15="4x2 2 Pieds",1,IF('Définition PERGOSOLAR'!G15="4x2 4 Pieds",1,0)),0)</f>
        <v>0</v>
      </c>
      <c r="H16" s="650"/>
      <c r="I16" s="857">
        <f>G16*'Définition PERGOSOLAR'!$G$6+H16</f>
        <v>0</v>
      </c>
      <c r="K16" s="623"/>
      <c r="L16" s="624"/>
      <c r="M16" s="625"/>
    </row>
    <row r="17" spans="1:14" s="622" customFormat="1" ht="39.950000000000003" customHeight="1">
      <c r="A17" s="617" t="s">
        <v>1733</v>
      </c>
      <c r="B17" s="618"/>
      <c r="C17" s="619" t="str">
        <f>Traduction!A411</f>
        <v>PG HARMONY STRUCTURE 4x3 7016 MAT</v>
      </c>
      <c r="D17" s="620" t="s">
        <v>1843</v>
      </c>
      <c r="E17" s="621">
        <v>300</v>
      </c>
      <c r="F17" s="619" t="str">
        <f>Traduction!A423</f>
        <v>kit structure pour une pergola HARMONY 4x3
couleur  : 7016 Mat</v>
      </c>
      <c r="G17" s="620">
        <f>IF('Définition PERGOSOLAR'!G16=7016,IF('Définition PERGOSOLAR'!G$15="4x3 2 Pieds",1,IF('Définition PERGOSOLAR'!G15="4x3 4 Pieds",1,0)),0)</f>
        <v>0</v>
      </c>
      <c r="H17" s="650"/>
      <c r="I17" s="857">
        <f>G17*'Définition PERGOSOLAR'!$G$6+H17</f>
        <v>0</v>
      </c>
      <c r="K17" s="623"/>
      <c r="L17" s="624"/>
      <c r="M17" s="625"/>
    </row>
    <row r="18" spans="1:14" s="622" customFormat="1" ht="39.950000000000003" customHeight="1">
      <c r="A18" s="617" t="s">
        <v>1734</v>
      </c>
      <c r="B18" s="618"/>
      <c r="C18" s="619" t="str">
        <f>Traduction!A412</f>
        <v>PG HARMONY STRUCTURE 4x3 9010 BRILLANT</v>
      </c>
      <c r="D18" s="620" t="s">
        <v>1843</v>
      </c>
      <c r="E18" s="621">
        <v>300</v>
      </c>
      <c r="F18" s="619" t="str">
        <f>Traduction!A424</f>
        <v>kit structure pour une pergola HARMONY 4x3
couleur  : 9010 brillant</v>
      </c>
      <c r="G18" s="620">
        <f>IF('Définition PERGOSOLAR'!G16=9010,IF('Définition PERGOSOLAR'!G$15="4x3 2 Pieds",1,IF('Définition PERGOSOLAR'!G15="4x3 4 Pieds",1,0)),0)</f>
        <v>0</v>
      </c>
      <c r="H18" s="650"/>
      <c r="I18" s="857">
        <f>G18*'Définition PERGOSOLAR'!$G$6+H18</f>
        <v>0</v>
      </c>
      <c r="K18" s="623"/>
      <c r="L18" s="624"/>
      <c r="M18" s="625"/>
    </row>
    <row r="19" spans="1:14" s="622" customFormat="1" ht="39.950000000000003" customHeight="1">
      <c r="A19" s="617" t="s">
        <v>418</v>
      </c>
      <c r="B19" s="618"/>
      <c r="C19" s="619" t="str">
        <f>Traduction!A234</f>
        <v>KIT ACTIONNEUR 2500N 155MM</v>
      </c>
      <c r="D19" s="378" t="s">
        <v>802</v>
      </c>
      <c r="E19" s="398">
        <v>3.25</v>
      </c>
      <c r="F19" s="619" t="str">
        <f>Traduction!A285</f>
        <v>Actionneur 2500N + alimentation + récepteur+Vérin</v>
      </c>
      <c r="G19" s="620">
        <f>IF('Définition PERGOSOLAR'!G26="yes",'Définition PERGOSOLAR'!G27,0)</f>
        <v>0</v>
      </c>
      <c r="H19" s="650"/>
      <c r="I19" s="857">
        <f>G19*'Définition PERGOSOLAR'!$G$6+H19</f>
        <v>0</v>
      </c>
      <c r="K19" s="626"/>
      <c r="L19" s="624"/>
    </row>
    <row r="20" spans="1:14" s="622" customFormat="1" ht="50.1" customHeight="1">
      <c r="A20" s="617" t="s">
        <v>1857</v>
      </c>
      <c r="B20" s="618"/>
      <c r="C20" s="619" t="str">
        <f>Traduction!A425</f>
        <v>PG 1 LIGNE BC 1x2 3652mm 7016 MAT</v>
      </c>
      <c r="D20" s="620" t="s">
        <v>1845</v>
      </c>
      <c r="E20" s="621">
        <v>130</v>
      </c>
      <c r="F20" s="619" t="str">
        <f>Traduction!A427</f>
        <v>kit de 5 lames  = "1 ligne" L3652mm , pour une pergola de 2 modules de large
Lames  : Blanches 9010 mat
Autres pièces en gris 7016 Mat</v>
      </c>
      <c r="G20" s="620">
        <f>IF('Définition PERGOSOLAR'!$G$26="yes",IF('Définition PERGOSOLAR'!$G$16=7016,IF(Info!$U$46=1,'Définition PERGOSOLAR'!$G$27,0),0),0)</f>
        <v>0</v>
      </c>
      <c r="H20" s="650"/>
      <c r="I20" s="857">
        <f>G20*'Définition PERGOSOLAR'!$G$6+H20</f>
        <v>0</v>
      </c>
      <c r="K20" s="626"/>
      <c r="L20" s="624"/>
      <c r="M20" s="630"/>
      <c r="N20" s="624"/>
    </row>
    <row r="21" spans="1:14" s="622" customFormat="1" ht="50.1" customHeight="1">
      <c r="A21" s="617" t="s">
        <v>1604</v>
      </c>
      <c r="B21" s="618"/>
      <c r="C21" s="619" t="str">
        <f>Traduction!A426</f>
        <v>PG 1 LIGNE BC 1x2 3652mm 9010 BRILLANT</v>
      </c>
      <c r="D21" s="620" t="s">
        <v>1845</v>
      </c>
      <c r="E21" s="621">
        <v>130</v>
      </c>
      <c r="F21" s="619" t="str">
        <f>Traduction!A428</f>
        <v>kit de 5 lames  = "1 lignes" L3652mm, pour une pergola de 2 modules de large
Lames  : Blanches 9010 brillant
Autres pièces en ral 9010 Brillant</v>
      </c>
      <c r="G21" s="620">
        <f>IF('Définition PERGOSOLAR'!$G$26="yes",IF('Définition PERGOSOLAR'!$G$16=9010,IF(Info!$U$46=1,'Définition PERGOSOLAR'!$G$27,0),0),0)</f>
        <v>0</v>
      </c>
      <c r="H21" s="650"/>
      <c r="I21" s="857">
        <f>G21*'Définition PERGOSOLAR'!$G$6+H21</f>
        <v>0</v>
      </c>
      <c r="K21" s="626"/>
      <c r="L21" s="624"/>
    </row>
    <row r="22" spans="1:14" s="622" customFormat="1" ht="50.1" customHeight="1">
      <c r="A22" s="617" t="s">
        <v>1858</v>
      </c>
      <c r="B22" s="618"/>
      <c r="C22" s="619" t="str">
        <f>Traduction!A431</f>
        <v>PG 1 LIGNE BC 1x3 5452mm 7016 MAT</v>
      </c>
      <c r="D22" s="620" t="s">
        <v>1846</v>
      </c>
      <c r="E22" s="621">
        <v>170</v>
      </c>
      <c r="F22" s="619" t="str">
        <f>Traduction!A429</f>
        <v>kit de 5 lames  = "1 ligne" L5452mm, pour une pergola de 3 modules de large
Lames  : Blanches 7016 mat
Autres pièces en ral gris 7016 Mat</v>
      </c>
      <c r="G22" s="620">
        <f>IF('Définition PERGOSOLAR'!$G$26="yes",IF('Définition PERGOSOLAR'!$G$16=7016,IF(Info!$V$46=1,'Définition PERGOSOLAR'!$G$27,0),0),0)</f>
        <v>0</v>
      </c>
      <c r="H22" s="650"/>
      <c r="I22" s="857">
        <f>G22*'Définition PERGOSOLAR'!$G$6+H22</f>
        <v>0</v>
      </c>
      <c r="K22" s="626"/>
      <c r="L22" s="624"/>
    </row>
    <row r="23" spans="1:14" s="622" customFormat="1" ht="50.1" customHeight="1">
      <c r="A23" s="617" t="s">
        <v>1623</v>
      </c>
      <c r="B23" s="618"/>
      <c r="C23" s="619" t="str">
        <f>Traduction!A432</f>
        <v>PG 1 LIGNE BC 1x3 5452mm 9010 BRILLANT</v>
      </c>
      <c r="D23" s="620" t="s">
        <v>1846</v>
      </c>
      <c r="E23" s="621">
        <v>170</v>
      </c>
      <c r="F23" s="619" t="str">
        <f>Traduction!A430</f>
        <v>kit de 5 lames  = "1 ligne" L5452mm, pour une pergola de 3 modules de large
Lames  : Blanches 9010 brillant
Autres pièces en ral  9010 Brillant</v>
      </c>
      <c r="G23" s="620">
        <f>IF('Définition PERGOSOLAR'!$G$26="yes",IF('Définition PERGOSOLAR'!$G$16=9010,IF(Info!$V$46=1,'Définition PERGOSOLAR'!$G$27,0),0),0)</f>
        <v>0</v>
      </c>
      <c r="H23" s="650"/>
      <c r="I23" s="857">
        <f>G23*'Définition PERGOSOLAR'!$G$6+H23</f>
        <v>0</v>
      </c>
      <c r="K23" s="626"/>
      <c r="L23" s="624"/>
    </row>
    <row r="24" spans="1:14" s="622" customFormat="1" ht="39.950000000000003" customHeight="1">
      <c r="A24" s="617" t="s">
        <v>420</v>
      </c>
      <c r="B24" s="618"/>
      <c r="C24" s="619" t="str">
        <f>Traduction!A239</f>
        <v>PG 2 PIEDS 2400 7016 MAT</v>
      </c>
      <c r="D24" s="378" t="s">
        <v>1710</v>
      </c>
      <c r="E24" s="398">
        <v>32</v>
      </c>
      <c r="F24" s="619" t="str">
        <f>Traduction!A290</f>
        <v>2 pieds de 2400 mm de long, en Ral  7016 Mat</v>
      </c>
      <c r="G24" s="620">
        <f>IF('Définition PERGOSOLAR'!G16=7016,IF('Définition PERGOSOLAR'!G22="Yes",'Définition PERGOSOLAR'!G23,'Définition PERGOSOLAR'!G17),0)</f>
        <v>2</v>
      </c>
      <c r="H24" s="650"/>
      <c r="I24" s="857">
        <f>IF('Définition PERGOSOLAR'!G16=7016,IF('Définition PERGOSOLAR'!G22="Yes",'Définition PERGOSOLAR'!G23,G24*'Définition PERGOSOLAR'!$G$6),0)+H24</f>
        <v>2</v>
      </c>
      <c r="K24" s="626"/>
      <c r="L24" s="624"/>
    </row>
    <row r="25" spans="1:14" s="622" customFormat="1" ht="39.950000000000003" customHeight="1">
      <c r="A25" s="617" t="s">
        <v>421</v>
      </c>
      <c r="B25" s="618"/>
      <c r="C25" s="619" t="str">
        <f>Traduction!A240</f>
        <v>PG 2 PIEDS 2400 9010 BRILLANT</v>
      </c>
      <c r="D25" s="378" t="s">
        <v>1710</v>
      </c>
      <c r="E25" s="399">
        <v>32</v>
      </c>
      <c r="F25" s="619" t="str">
        <f>Traduction!A291</f>
        <v>2 pieds de 2400 mm de long, en Ral 9010 Brillant</v>
      </c>
      <c r="G25" s="620">
        <f>IF('Définition PERGOSOLAR'!G16=9010,IF('Définition PERGOSOLAR'!G22="Yes",'Définition PERGOSOLAR'!G23,'Définition PERGOSOLAR'!G17),0)</f>
        <v>0</v>
      </c>
      <c r="H25" s="650"/>
      <c r="I25" s="857">
        <f>IF('Définition PERGOSOLAR'!G16=9010,IF('Définition PERGOSOLAR'!G22="Yes",'Définition PERGOSOLAR'!G23,G25*'Définition PERGOSOLAR'!$G$6),0)+H25</f>
        <v>0</v>
      </c>
      <c r="K25" s="626"/>
      <c r="L25" s="624"/>
    </row>
    <row r="26" spans="1:14" s="622" customFormat="1" ht="39.950000000000003" customHeight="1">
      <c r="A26" s="617" t="s">
        <v>1624</v>
      </c>
      <c r="B26" s="618"/>
      <c r="C26" s="619" t="str">
        <f>Traduction!A433</f>
        <v>PG ACC 1 SOUS FACE 1019mm 7016 MAT</v>
      </c>
      <c r="D26" s="620" t="s">
        <v>1847</v>
      </c>
      <c r="E26" s="621">
        <v>7.87</v>
      </c>
      <c r="F26" s="619" t="str">
        <f>Traduction!A435</f>
        <v>kit de fixation de sous-face (pour une plaque), 1019mm, en ral 7016 Mat</v>
      </c>
      <c r="G26" s="620">
        <f>IF('Définition PERGOSOLAR'!G16=7016,IF('Définition PERGOSOLAR'!G37="Yes",Info!P46,0),0)</f>
        <v>0</v>
      </c>
      <c r="H26" s="650"/>
      <c r="I26" s="857">
        <f>G26*'Définition PERGOSOLAR'!$G$6+H26</f>
        <v>0</v>
      </c>
      <c r="K26" s="626"/>
      <c r="L26" s="624"/>
    </row>
    <row r="27" spans="1:14" s="622" customFormat="1" ht="39.950000000000003" customHeight="1">
      <c r="A27" s="617" t="s">
        <v>1625</v>
      </c>
      <c r="B27" s="618"/>
      <c r="C27" s="619" t="str">
        <f>Traduction!A434</f>
        <v>PG ACC 1 SOUS FACE 1019mm 9010 BRILLANT</v>
      </c>
      <c r="D27" s="620" t="s">
        <v>1847</v>
      </c>
      <c r="E27" s="621">
        <v>7.87</v>
      </c>
      <c r="F27" s="619" t="str">
        <f>Traduction!A436</f>
        <v>kit de fixation de sous-face (pour une plaque), 1019mm, en ral 9010 Brillant</v>
      </c>
      <c r="G27" s="620">
        <f>IF('Définition PERGOSOLAR'!G16=9010,IF('Définition PERGOSOLAR'!G37="Yes",Info!P46,0),0)</f>
        <v>0</v>
      </c>
      <c r="H27" s="650"/>
      <c r="I27" s="857">
        <f>G27*'Définition PERGOSOLAR'!$G$6+H27</f>
        <v>0</v>
      </c>
      <c r="K27" s="626"/>
      <c r="L27" s="624"/>
    </row>
    <row r="28" spans="1:14" s="622" customFormat="1" ht="39.950000000000003" customHeight="1">
      <c r="A28" s="617" t="s">
        <v>424</v>
      </c>
      <c r="B28" s="618"/>
      <c r="C28" s="619" t="str">
        <f>Traduction!A243</f>
        <v>PG DEPORT 2 PIEDS</v>
      </c>
      <c r="D28" s="378" t="s">
        <v>804</v>
      </c>
      <c r="E28" s="398">
        <v>1.25</v>
      </c>
      <c r="F28" s="619" t="str">
        <f>Traduction!A294</f>
        <v xml:space="preserve">Kit de déport des pieds + évacuation d'eau </v>
      </c>
      <c r="G28" s="620">
        <f>IF('Définition PERGOSOLAR'!G32="yes",1,0)</f>
        <v>0</v>
      </c>
      <c r="H28" s="650"/>
      <c r="I28" s="857">
        <f>G28*'Définition PERGOSOLAR'!$G$6+H28</f>
        <v>0</v>
      </c>
      <c r="K28" s="626"/>
      <c r="L28" s="624"/>
    </row>
    <row r="29" spans="1:14" s="622" customFormat="1" ht="39.950000000000003" customHeight="1">
      <c r="A29" s="617" t="s">
        <v>1638</v>
      </c>
      <c r="B29" s="618"/>
      <c r="C29" s="619" t="str">
        <f>Traduction!A437</f>
        <v>PG 1 LIGNE PV 1x2 3640mm 7016 MAT</v>
      </c>
      <c r="D29" s="620" t="s">
        <v>1845</v>
      </c>
      <c r="E29" s="621">
        <v>100</v>
      </c>
      <c r="F29" s="619" t="str">
        <f>Traduction!A441</f>
        <v>kit pour 1 ligne de panneaux photovoltaiques L3640mm, pour pergola de 2 modules de large
couleur  : ral 7016 Mat</v>
      </c>
      <c r="G29" s="620">
        <f>$G$7*'Définition PERGOSOLAR'!$G$29+$G$15*'Définition PERGOSOLAR'!$G$29+$G$11*'Définition PERGOSOLAR'!$G$29</f>
        <v>0</v>
      </c>
      <c r="H29" s="650"/>
      <c r="I29" s="857">
        <f>G29*'Définition PERGOSOLAR'!$G$6+H29</f>
        <v>0</v>
      </c>
      <c r="K29" s="626"/>
      <c r="L29" s="624"/>
    </row>
    <row r="30" spans="1:14" s="622" customFormat="1" ht="39.950000000000003" customHeight="1">
      <c r="A30" s="617" t="s">
        <v>1639</v>
      </c>
      <c r="B30" s="618"/>
      <c r="C30" s="619" t="str">
        <f>Traduction!A438</f>
        <v>PG 1 LIGNE PV 1x2 3640mm 9010 BRILLANT</v>
      </c>
      <c r="D30" s="620" t="s">
        <v>1845</v>
      </c>
      <c r="E30" s="621">
        <v>100</v>
      </c>
      <c r="F30" s="619" t="str">
        <f>Traduction!A442</f>
        <v>kit pour 1 ligne de panneaux photovoltaiques L3640mm, pour pergola de 2 modules de large
couleur  : ral 9010 Brillant</v>
      </c>
      <c r="G30" s="620">
        <f>$G$8*'Définition PERGOSOLAR'!$G$29+$G$16*'Définition PERGOSOLAR'!$G$29+$G$12*'Définition PERGOSOLAR'!$G$29</f>
        <v>0</v>
      </c>
      <c r="H30" s="650"/>
      <c r="I30" s="857">
        <f>G30*'Définition PERGOSOLAR'!$G$6+H30</f>
        <v>0</v>
      </c>
      <c r="K30" s="626"/>
      <c r="L30" s="624"/>
      <c r="M30" s="630"/>
      <c r="N30" s="624"/>
    </row>
    <row r="31" spans="1:14" s="622" customFormat="1" ht="39.950000000000003" customHeight="1">
      <c r="A31" s="617" t="s">
        <v>1640</v>
      </c>
      <c r="B31" s="618"/>
      <c r="C31" s="619" t="str">
        <f>Traduction!A439</f>
        <v>PG 1 LIGNE PV 1x3 5440mm 7016 MAT</v>
      </c>
      <c r="D31" s="620" t="s">
        <v>1846</v>
      </c>
      <c r="E31" s="621">
        <v>120</v>
      </c>
      <c r="F31" s="619" t="str">
        <f>Traduction!A443</f>
        <v>kit pour 1 ligne de panneaux photovoltaiques L5440mm, pour pergola de 3 modules de large
couleur  : ral 7016 Mat</v>
      </c>
      <c r="G31" s="620">
        <f>($G$9+$G$13+$G$17)*'Définition PERGOSOLAR'!$G$29</f>
        <v>3</v>
      </c>
      <c r="H31" s="650"/>
      <c r="I31" s="857">
        <f>G31*'Définition PERGOSOLAR'!$G$6+H31</f>
        <v>3</v>
      </c>
      <c r="K31" s="626"/>
      <c r="L31" s="624"/>
    </row>
    <row r="32" spans="1:14" s="622" customFormat="1" ht="39.950000000000003" customHeight="1">
      <c r="A32" s="617" t="s">
        <v>1641</v>
      </c>
      <c r="B32" s="618"/>
      <c r="C32" s="619" t="str">
        <f>Traduction!A440</f>
        <v>PG 1 LIGNE PV 1x3 5440mm 9010 BRILLANT</v>
      </c>
      <c r="D32" s="620" t="s">
        <v>1846</v>
      </c>
      <c r="E32" s="621">
        <v>120</v>
      </c>
      <c r="F32" s="619" t="str">
        <f>Traduction!A444</f>
        <v>kit pour 1 ligne de panneaux photovoltaiques L5440mm, pour pergola de 3 modules de large
couleur  : ral 9010 Brillant</v>
      </c>
      <c r="G32" s="620">
        <f>($G$10+$G$14+$G$18)*'Définition PERGOSOLAR'!$G$29</f>
        <v>0</v>
      </c>
      <c r="H32" s="650"/>
      <c r="I32" s="857">
        <f>G32*'Définition PERGOSOLAR'!$G$6+H32</f>
        <v>0</v>
      </c>
      <c r="K32" s="626"/>
      <c r="L32" s="624"/>
    </row>
    <row r="33" spans="1:12" s="622" customFormat="1" ht="39.950000000000003" customHeight="1">
      <c r="A33" s="617" t="s">
        <v>1091</v>
      </c>
      <c r="B33" s="618"/>
      <c r="C33" s="619" t="str">
        <f>Traduction!A367</f>
        <v>DAISY Wifi - pilotage par Smartphone</v>
      </c>
      <c r="D33" s="378" t="s">
        <v>1092</v>
      </c>
      <c r="E33" s="400">
        <v>0.24</v>
      </c>
      <c r="F33" s="619" t="str">
        <f>Traduction!A367</f>
        <v>DAISY Wifi - pilotage par Smartphone</v>
      </c>
      <c r="G33" s="620">
        <f>IF('Définition PERGOSOLAR'!G52="yes",1,0)</f>
        <v>0</v>
      </c>
      <c r="H33" s="650"/>
      <c r="I33" s="857">
        <f>G33*'Définition PERGOSOLAR'!$G$6+H33</f>
        <v>0</v>
      </c>
    </row>
    <row r="34" spans="1:12" s="622" customFormat="1" ht="39.950000000000003" customHeight="1">
      <c r="A34" s="617" t="s">
        <v>1855</v>
      </c>
      <c r="B34" s="618"/>
      <c r="C34" s="619" t="str">
        <f>Traduction!A445</f>
        <v>PG KIT RUBANS LED 24M 3200°K + E/R</v>
      </c>
      <c r="D34" s="378" t="s">
        <v>1477</v>
      </c>
      <c r="E34" s="400">
        <v>2.87</v>
      </c>
      <c r="F34" s="619" t="str">
        <f>Traduction!A446</f>
        <v>Kit LED en ruban 24m + ALIM + récepteur + télécommande</v>
      </c>
      <c r="G34" s="620">
        <f>IF('Définition PERGOSOLAR'!G34="yes",1,0)</f>
        <v>1</v>
      </c>
      <c r="H34" s="650"/>
      <c r="I34" s="857">
        <f>G34*'Définition PERGOSOLAR'!$G$6+H34</f>
        <v>1</v>
      </c>
    </row>
    <row r="35" spans="1:12" s="622" customFormat="1" ht="39.950000000000003" customHeight="1">
      <c r="A35" s="617" t="s">
        <v>445</v>
      </c>
      <c r="B35" s="618"/>
      <c r="C35" s="619" t="str">
        <f>Traduction!A249</f>
        <v>KIT 4 SPOTS LED 3000°K</v>
      </c>
      <c r="D35" s="378" t="s">
        <v>805</v>
      </c>
      <c r="E35" s="398">
        <v>1.8</v>
      </c>
      <c r="F35" s="619" t="str">
        <f>Traduction!A300</f>
        <v>option kit Led : 4 spots  + ALIM + récepteur + télécommande</v>
      </c>
      <c r="G35" s="620">
        <f>IF('Définition PERGOSOLAR'!G29&lt;2,0,IF('Définition PERGOSOLAR'!G35="yes",1,0))</f>
        <v>0</v>
      </c>
      <c r="H35" s="650"/>
      <c r="I35" s="857">
        <f>G35*'Définition PERGOSOLAR'!$G$6+H35</f>
        <v>0</v>
      </c>
      <c r="K35" s="626"/>
      <c r="L35" s="624"/>
    </row>
    <row r="36" spans="1:12" s="622" customFormat="1" ht="39.950000000000003" customHeight="1">
      <c r="A36" s="617" t="s">
        <v>446</v>
      </c>
      <c r="B36" s="618"/>
      <c r="C36" s="619" t="str">
        <f>Traduction!A250</f>
        <v>KIT 2 SPOTS LED 3000°K</v>
      </c>
      <c r="D36" s="378" t="s">
        <v>806</v>
      </c>
      <c r="E36" s="398">
        <v>0.32900000000000001</v>
      </c>
      <c r="F36" s="619" t="str">
        <f>Traduction!A301</f>
        <v>option : 2 spots supplémentaires</v>
      </c>
      <c r="G36" s="620">
        <f>IF('Définition PERGOSOLAR'!G29&lt;2,0,IF('Définition PERGOSOLAR'!G35="Yes",IF(Catalogue!D137=65,0,'Définition PERGOSOLAR'!G36),0))</f>
        <v>0</v>
      </c>
      <c r="H36" s="650"/>
      <c r="I36" s="857">
        <f>G36*'Définition PERGOSOLAR'!$G$6+H36</f>
        <v>0</v>
      </c>
      <c r="K36" s="626"/>
      <c r="L36" s="624"/>
    </row>
    <row r="37" spans="1:12" s="622" customFormat="1" ht="39.950000000000003" customHeight="1">
      <c r="A37" s="617" t="s">
        <v>1677</v>
      </c>
      <c r="B37" s="618"/>
      <c r="C37" s="619" t="str">
        <f>Traduction!A448</f>
        <v>PG SOUS FACE x3 CLASSIC - HARMONY</v>
      </c>
      <c r="D37" s="620"/>
      <c r="E37" s="621"/>
      <c r="F37" s="619" t="str">
        <f>Traduction!A449</f>
        <v>plaque de makrolon 1048 x 2680 x 16 mm</v>
      </c>
      <c r="G37" s="620">
        <f>IF('Définition PERGOSOLAR'!G37="Yes",IF('Définition PERGOSOLAR'!G38="Yes",IF('Définition PERGOSOLAR'!G29&gt;0,IF(Info!S46&gt;0,Info!S46,0),0),0),0)</f>
        <v>0</v>
      </c>
      <c r="H37" s="650"/>
      <c r="I37" s="857">
        <f>G37*'Définition PERGOSOLAR'!$G$6+H37</f>
        <v>0</v>
      </c>
      <c r="K37" s="626"/>
      <c r="L37" s="624"/>
    </row>
    <row r="38" spans="1:12" s="622" customFormat="1" ht="39.950000000000003" customHeight="1">
      <c r="A38" s="617" t="s">
        <v>1676</v>
      </c>
      <c r="B38" s="618"/>
      <c r="C38" s="619" t="str">
        <f>Traduction!A447</f>
        <v>PG SOUS FACE x2 CLASSIC - HARMONY</v>
      </c>
      <c r="D38" s="620"/>
      <c r="E38" s="621"/>
      <c r="F38" s="619" t="str">
        <f>Traduction!A450</f>
        <v>plaque de makrolon 1048 x 3590 x 16 mm</v>
      </c>
      <c r="G38" s="620">
        <f>IF('Définition PERGOSOLAR'!G37="Yes",IF('Définition PERGOSOLAR'!G38="Yes",IF('Définition PERGOSOLAR'!G29&gt;0,IF(Info!T46&gt;0,Info!T46,0),0),0),0)</f>
        <v>0</v>
      </c>
      <c r="H38" s="650"/>
      <c r="I38" s="857">
        <f>G38*'Définition PERGOSOLAR'!$G$6+H38</f>
        <v>0</v>
      </c>
      <c r="K38" s="626"/>
      <c r="L38" s="624"/>
    </row>
    <row r="39" spans="1:12" s="622" customFormat="1" ht="39.950000000000003" customHeight="1">
      <c r="A39" s="617" t="s">
        <v>666</v>
      </c>
      <c r="B39" s="618"/>
      <c r="C39" s="619" t="str">
        <f>Traduction!A253</f>
        <v>PG KIT 2 FIXATIONS MURALES 7016 MAT</v>
      </c>
      <c r="D39" s="620" t="s">
        <v>807</v>
      </c>
      <c r="E39" s="621">
        <v>1.5</v>
      </c>
      <c r="F39" s="619" t="str">
        <f>Traduction!A304</f>
        <v>Kit 2 fixations murales RAL 7016 Mat</v>
      </c>
      <c r="G39" s="620">
        <f>IF('Définition PERGOSOLAR'!$G$16=7016,IF('Définition PERGOSOLAR'!$G$18&gt;0,1,0),0)</f>
        <v>0</v>
      </c>
      <c r="H39" s="650"/>
      <c r="I39" s="857">
        <f>G39*'Définition PERGOSOLAR'!$G$6+H39</f>
        <v>0</v>
      </c>
      <c r="K39" s="626"/>
      <c r="L39" s="624"/>
    </row>
    <row r="40" spans="1:12" s="622" customFormat="1" ht="39.950000000000003" customHeight="1">
      <c r="A40" s="617" t="s">
        <v>667</v>
      </c>
      <c r="B40" s="618"/>
      <c r="C40" s="619" t="str">
        <f>Traduction!A254</f>
        <v>PG KIT 2 FIXATIONS MURALES RAL9010</v>
      </c>
      <c r="D40" s="620" t="s">
        <v>807</v>
      </c>
      <c r="E40" s="621">
        <v>1.5</v>
      </c>
      <c r="F40" s="619" t="str">
        <f>Traduction!A305</f>
        <v>Kit 2 fixations murales RAL 9010</v>
      </c>
      <c r="G40" s="620">
        <f>IF('Définition PERGOSOLAR'!$G$16=9010,IF('Définition PERGOSOLAR'!$G$18&gt;0,1,0),0)</f>
        <v>0</v>
      </c>
      <c r="H40" s="650"/>
      <c r="I40" s="857">
        <f>G40*'Définition PERGOSOLAR'!$G$6+H40</f>
        <v>0</v>
      </c>
      <c r="K40" s="626"/>
      <c r="L40" s="624"/>
    </row>
    <row r="41" spans="1:12" s="622" customFormat="1" ht="39.950000000000003" customHeight="1">
      <c r="A41" s="617" t="s">
        <v>736</v>
      </c>
      <c r="B41" s="618"/>
      <c r="C41" s="619" t="str">
        <f>Traduction!A255</f>
        <v>kit 2 embases de pieds 7016 Mat</v>
      </c>
      <c r="D41" s="620" t="s">
        <v>801</v>
      </c>
      <c r="E41" s="621">
        <v>6.55</v>
      </c>
      <c r="F41" s="619" t="str">
        <f>Traduction!A306</f>
        <v>kit 2 embases de pieds 7016 Mat</v>
      </c>
      <c r="G41" s="620">
        <f>IF('Définition PERGOSOLAR'!$G$16=7016,IF('Définition PERGOSOLAR'!$G$19="yes",IF('Définition PERGOSOLAR'!G20="No",$G$24,0)),0)</f>
        <v>2</v>
      </c>
      <c r="H41" s="650"/>
      <c r="I41" s="857">
        <f>IF('Définition PERGOSOLAR'!G16=7016,IF('Définition PERGOSOLAR'!G20="No",IF('Définition PERGOSOLAR'!G22="Yes",'Définition PERGOSOLAR'!G23,G24*'Définition PERGOSOLAR'!$G$6)),0)+H41</f>
        <v>2</v>
      </c>
      <c r="K41" s="626"/>
      <c r="L41" s="624"/>
    </row>
    <row r="42" spans="1:12" s="622" customFormat="1" ht="39.950000000000003" customHeight="1">
      <c r="A42" s="617" t="s">
        <v>737</v>
      </c>
      <c r="B42" s="618"/>
      <c r="C42" s="619" t="str">
        <f>Traduction!A256</f>
        <v>kit 2 embases de pieds 9010</v>
      </c>
      <c r="D42" s="620" t="s">
        <v>801</v>
      </c>
      <c r="E42" s="621">
        <v>6.55</v>
      </c>
      <c r="F42" s="619" t="str">
        <f>Traduction!A307</f>
        <v>kit 2 embases de pieds 9010</v>
      </c>
      <c r="G42" s="620">
        <f>IF('Définition PERGOSOLAR'!$G$16=9010,IF('Définition PERGOSOLAR'!$G$19="yes",IF('Définition PERGOSOLAR'!G20="No",$G$25,0)),0)</f>
        <v>0</v>
      </c>
      <c r="H42" s="650"/>
      <c r="I42" s="857">
        <f>IF('Définition PERGOSOLAR'!G16=9010,IF('Définition PERGOSOLAR'!G20="No",IF('Définition PERGOSOLAR'!G22="Yes",'Définition PERGOSOLAR'!G23,G25*'Définition PERGOSOLAR'!$G$6)),0)+H42</f>
        <v>0</v>
      </c>
      <c r="K42" s="626"/>
      <c r="L42" s="624"/>
    </row>
    <row r="43" spans="1:12" s="622" customFormat="1" ht="39.950000000000003" customHeight="1">
      <c r="A43" s="617" t="s">
        <v>1833</v>
      </c>
      <c r="B43" s="618"/>
      <c r="C43" s="619" t="str">
        <f>Traduction!A490</f>
        <v>KIT 2 EMBASES ENCASTREES 7016 MAT</v>
      </c>
      <c r="D43" s="620" t="s">
        <v>1864</v>
      </c>
      <c r="E43" s="621">
        <v>50</v>
      </c>
      <c r="F43" s="619" t="str">
        <f>Traduction!A490</f>
        <v>KIT 2 EMBASES ENCASTREES 7016 MAT</v>
      </c>
      <c r="G43" s="620">
        <f>IF('Définition PERGOSOLAR'!$G$16=7016,IF('Définition PERGOSOLAR'!$G$19="yes",IF('Définition PERGOSOLAR'!G20="Yes",$G$24,0)),0)</f>
        <v>0</v>
      </c>
      <c r="H43" s="650"/>
      <c r="I43" s="857">
        <f>IF('Définition PERGOSOLAR'!G16=7016,IF('Définition PERGOSOLAR'!G20="Yes",IF('Définition PERGOSOLAR'!G22="Yes",'Définition PERGOSOLAR'!G23,G24*'Définition PERGOSOLAR'!$G$6)),0)+H43</f>
        <v>0</v>
      </c>
      <c r="K43" s="626"/>
      <c r="L43" s="624"/>
    </row>
    <row r="44" spans="1:12" s="622" customFormat="1" ht="39.950000000000003" customHeight="1">
      <c r="A44" s="617" t="s">
        <v>1834</v>
      </c>
      <c r="B44" s="618"/>
      <c r="C44" s="619" t="str">
        <f>Traduction!A491</f>
        <v>KIT 2 EMBASES ENCASTREES 9010</v>
      </c>
      <c r="D44" s="620" t="s">
        <v>1864</v>
      </c>
      <c r="E44" s="621">
        <v>50</v>
      </c>
      <c r="F44" s="619" t="str">
        <f>Traduction!A491</f>
        <v>KIT 2 EMBASES ENCASTREES 9010</v>
      </c>
      <c r="G44" s="620">
        <f>IF('Définition PERGOSOLAR'!$G$16=9010,IF('Définition PERGOSOLAR'!$G$19="yes",IF('Définition PERGOSOLAR'!G20="Yes",$G$25,0)),0)</f>
        <v>0</v>
      </c>
      <c r="H44" s="650"/>
      <c r="I44" s="857">
        <f>IF('Définition PERGOSOLAR'!G16=9010,IF('Définition PERGOSOLAR'!G20="Yes",IF('Définition PERGOSOLAR'!G22="Yes",'Définition PERGOSOLAR'!G23,G25*'Définition PERGOSOLAR'!$G$6)),0)+H44</f>
        <v>0</v>
      </c>
      <c r="K44" s="626"/>
      <c r="L44" s="624"/>
    </row>
    <row r="45" spans="1:12" s="622" customFormat="1" ht="39.950000000000003" customHeight="1">
      <c r="A45" s="617" t="s">
        <v>1741</v>
      </c>
      <c r="B45" s="618"/>
      <c r="C45" s="619" t="str">
        <f>Traduction!A455</f>
        <v>PG STORE VERTICAL l2679 7016MAT 201</v>
      </c>
      <c r="D45" s="620" t="s">
        <v>1861</v>
      </c>
      <c r="E45" s="621">
        <v>26</v>
      </c>
      <c r="F45" s="619" t="str">
        <f>Traduction!A471</f>
        <v>STORE VERTICAL l2679*2400 7016MAT, Mermet satiné 5500-0201
RS SMART 100, moteur FAHER ONE + 1 interrupteur à appliquer</v>
      </c>
      <c r="G45" s="620">
        <f>IF('Définition PERGOSOLAR'!$G$16=7016,IF(Info!$Q$29=2543,'Définition PERGOSOLAR'!G41,0),0)</f>
        <v>0</v>
      </c>
      <c r="H45" s="650"/>
      <c r="I45" s="857">
        <f>IF('Définition PERGOSOLAR'!$G$22="Yes",G45,G45*'Définition PERGOSOLAR'!$G$6)+H45</f>
        <v>0</v>
      </c>
      <c r="K45" s="626"/>
      <c r="L45" s="624"/>
    </row>
    <row r="46" spans="1:12" s="622" customFormat="1" ht="39.950000000000003" customHeight="1">
      <c r="A46" s="617" t="s">
        <v>1742</v>
      </c>
      <c r="B46" s="618"/>
      <c r="C46" s="619" t="str">
        <f>Traduction!A456</f>
        <v>PG STORE VERTICAL l2679 9010BRI 201</v>
      </c>
      <c r="D46" s="620" t="s">
        <v>1860</v>
      </c>
      <c r="E46" s="621">
        <v>26</v>
      </c>
      <c r="F46" s="619" t="str">
        <f>Traduction!A472</f>
        <v>STORE VERTICAL l2679*2400 9010, Mermet satiné 5500-0201
RS SMART 100, moteur FAHER ONE + 1 interrupteur à appliquer</v>
      </c>
      <c r="G46" s="620">
        <f>IF('Définition PERGOSOLAR'!$G$16=9010,IF(Info!$Q$29=2543,'Définition PERGOSOLAR'!G41,0),0)</f>
        <v>0</v>
      </c>
      <c r="H46" s="650"/>
      <c r="I46" s="857">
        <f>IF('Définition PERGOSOLAR'!$G$22="Yes",G46,G46*'Définition PERGOSOLAR'!$G$6)+H46</f>
        <v>0</v>
      </c>
      <c r="K46" s="626"/>
      <c r="L46" s="624"/>
    </row>
    <row r="47" spans="1:12" s="622" customFormat="1" ht="39.950000000000003" customHeight="1">
      <c r="A47" s="617" t="s">
        <v>1743</v>
      </c>
      <c r="B47" s="618"/>
      <c r="C47" s="619" t="str">
        <f>Traduction!A457</f>
        <v>PG STORE VERTICAL l2829 7016MAT 201</v>
      </c>
      <c r="D47" s="620" t="s">
        <v>1851</v>
      </c>
      <c r="E47" s="621">
        <v>27</v>
      </c>
      <c r="F47" s="619" t="str">
        <f>Traduction!A473</f>
        <v>STORE VERTICAL l2829*2400 7016MAT, Mermet satiné 5500-0201
RS SMART 100, moteur FAHER ONE + 1 interrupteur à appliquer</v>
      </c>
      <c r="G47" s="620">
        <f>IF('Définition PERGOSOLAR'!$G$16=7016,IF(Info!$Q$29=2693,'Définition PERGOSOLAR'!G41,0),0)</f>
        <v>0</v>
      </c>
      <c r="H47" s="650"/>
      <c r="I47" s="857">
        <f>IF('Définition PERGOSOLAR'!$G$22="Yes",G47,G47*'Définition PERGOSOLAR'!$G$6)+H47</f>
        <v>0</v>
      </c>
      <c r="K47" s="626"/>
      <c r="L47" s="624"/>
    </row>
    <row r="48" spans="1:12" s="622" customFormat="1" ht="39.950000000000003" customHeight="1">
      <c r="A48" s="617" t="s">
        <v>1744</v>
      </c>
      <c r="B48" s="618"/>
      <c r="C48" s="619" t="str">
        <f>Traduction!A458</f>
        <v>PG STORE VERTICAL l2829 9010BRI 201</v>
      </c>
      <c r="D48" s="620" t="s">
        <v>1851</v>
      </c>
      <c r="E48" s="621">
        <v>27</v>
      </c>
      <c r="F48" s="619" t="str">
        <f>Traduction!A474</f>
        <v>STORE VERTICAL l2829*2400 9010, Mermet satiné 5500-0201
RS SMART 100, moteur FAHER ONE + 1 interrupteur à appliquer</v>
      </c>
      <c r="G48" s="620">
        <f>IF('Définition PERGOSOLAR'!$G$16=9010,IF(Info!$Q$29=2693,'Définition PERGOSOLAR'!G41,0),0)</f>
        <v>0</v>
      </c>
      <c r="H48" s="650"/>
      <c r="I48" s="857">
        <f>IF('Définition PERGOSOLAR'!$G$22="Yes",G48,G48*'Définition PERGOSOLAR'!$G$6)+H48</f>
        <v>0</v>
      </c>
      <c r="K48" s="626"/>
      <c r="L48" s="624"/>
    </row>
    <row r="49" spans="1:12" s="622" customFormat="1" ht="39.950000000000003" customHeight="1">
      <c r="A49" s="617" t="s">
        <v>1745</v>
      </c>
      <c r="B49" s="618"/>
      <c r="C49" s="619" t="str">
        <f>Traduction!A459</f>
        <v>PG STORE VERTICAL l3574 7016MAT 201</v>
      </c>
      <c r="D49" s="620" t="s">
        <v>1849</v>
      </c>
      <c r="E49" s="621">
        <v>28</v>
      </c>
      <c r="F49" s="619" t="str">
        <f>Traduction!A475</f>
        <v>STORE VERTICAL l3574*2400 7016MAT, Mermet satiné 5500-0201
RS SMART 100, moteur FAHER ONE + 1 interrupteur à appliquer</v>
      </c>
      <c r="G49" s="620">
        <f>IF('Définition PERGOSOLAR'!$G$16=7016,IF(Info!$R$29=3374,'Définition PERGOSOLAR'!G43,0),0)</f>
        <v>0</v>
      </c>
      <c r="H49" s="650"/>
      <c r="I49" s="857">
        <f>IF('Définition PERGOSOLAR'!$G$22="Yes",G49,G49*'Définition PERGOSOLAR'!$G$6)+H49</f>
        <v>0</v>
      </c>
      <c r="K49" s="626"/>
      <c r="L49" s="624"/>
    </row>
    <row r="50" spans="1:12" s="622" customFormat="1" ht="39.950000000000003" customHeight="1">
      <c r="A50" s="617" t="s">
        <v>1746</v>
      </c>
      <c r="B50" s="618"/>
      <c r="C50" s="619" t="str">
        <f>Traduction!A460</f>
        <v>PG STORE VERTICAL l3574 9010BRI 201</v>
      </c>
      <c r="D50" s="620" t="s">
        <v>1849</v>
      </c>
      <c r="E50" s="621">
        <v>28</v>
      </c>
      <c r="F50" s="619" t="str">
        <f>Traduction!A476</f>
        <v>STORE VERTICAL l3574*2400 9010, Mermet satiné 5500-0201
RS SMART 100, moteur FAHER ONE + 1 interrupteur à appliquer</v>
      </c>
      <c r="G50" s="620">
        <f>IF('Définition PERGOSOLAR'!$G$16=9010,IF(Info!$R$29=3374,'Définition PERGOSOLAR'!G43,0),0)</f>
        <v>0</v>
      </c>
      <c r="H50" s="650"/>
      <c r="I50" s="857">
        <f>IF('Définition PERGOSOLAR'!$G$22="Yes",G50,G50*'Définition PERGOSOLAR'!$G$6)+H50</f>
        <v>0</v>
      </c>
      <c r="K50" s="626"/>
      <c r="L50" s="624"/>
    </row>
    <row r="51" spans="1:12" s="622" customFormat="1" ht="39.950000000000003" customHeight="1">
      <c r="A51" s="617" t="s">
        <v>1747</v>
      </c>
      <c r="B51" s="618"/>
      <c r="C51" s="619" t="str">
        <f>Traduction!A461</f>
        <v>PG STORE VERTICAL l3997 7016MAT 201</v>
      </c>
      <c r="D51" s="620" t="s">
        <v>1862</v>
      </c>
      <c r="E51" s="621">
        <v>31</v>
      </c>
      <c r="F51" s="619" t="str">
        <f>Traduction!A477</f>
        <v>STORE VERTICAL l3997*2400 7016MAT, Mermet satiné 5500-0201
RS SMART 100, moteur FAHER ONE + 1 interrupteur à appliquer</v>
      </c>
      <c r="G51" s="620">
        <f>IF('Définition PERGOSOLAR'!$G$16=7016,IF(Info!$Q$29=3793,'Définition PERGOSOLAR'!G41,0),0)</f>
        <v>1</v>
      </c>
      <c r="H51" s="650"/>
      <c r="I51" s="857">
        <f>IF('Définition PERGOSOLAR'!$G$22="Yes",G51,G51*'Définition PERGOSOLAR'!$G$6)+H51</f>
        <v>1</v>
      </c>
      <c r="K51" s="626"/>
      <c r="L51" s="624"/>
    </row>
    <row r="52" spans="1:12" s="622" customFormat="1" ht="39.950000000000003" customHeight="1">
      <c r="A52" s="617" t="s">
        <v>1748</v>
      </c>
      <c r="B52" s="618"/>
      <c r="C52" s="619" t="str">
        <f>Traduction!A462</f>
        <v>PG STORE VERTICAL l3997 9010BRI 201</v>
      </c>
      <c r="D52" s="620" t="s">
        <v>1862</v>
      </c>
      <c r="E52" s="621">
        <v>31</v>
      </c>
      <c r="F52" s="619" t="str">
        <f>Traduction!A478</f>
        <v>STORE VERTICAL l3997*2400 9010, Mermet satiné 5500-0201
RS SMART 100, moteur FAHER ONE + 1 interrupteur à appliquer</v>
      </c>
      <c r="G52" s="620">
        <f>IF('Définition PERGOSOLAR'!$G$16=9010,IF(Info!$Q$29=3793,'Définition PERGOSOLAR'!G41,0),0)</f>
        <v>0</v>
      </c>
      <c r="H52" s="650"/>
      <c r="I52" s="857">
        <f>IF('Définition PERGOSOLAR'!$G$22="Yes",G52,G52*'Définition PERGOSOLAR'!$G$6)+H52</f>
        <v>0</v>
      </c>
      <c r="K52" s="626"/>
      <c r="L52" s="624"/>
    </row>
    <row r="53" spans="1:12" s="622" customFormat="1" ht="39.950000000000003" customHeight="1">
      <c r="A53" s="617" t="s">
        <v>1749</v>
      </c>
      <c r="B53" s="618"/>
      <c r="C53" s="619" t="str">
        <f>Traduction!A463</f>
        <v>PG STORE VERTICAL l4147 7016MAT 201</v>
      </c>
      <c r="D53" s="620" t="s">
        <v>1852</v>
      </c>
      <c r="E53" s="621">
        <v>35</v>
      </c>
      <c r="F53" s="619" t="str">
        <f>Traduction!A479</f>
        <v>STORE VERTICAL l4147*2400 7016MAT, Mermet satiné 5500-0201
RS SMART 100, moteur FAHER ONE + 1 interrupteur à appliquer</v>
      </c>
      <c r="G53" s="620">
        <f>IF('Définition PERGOSOLAR'!$G$16=7016,IF(Info!$Q$29=3943,'Définition PERGOSOLAR'!G41,0),0)</f>
        <v>0</v>
      </c>
      <c r="H53" s="650"/>
      <c r="I53" s="857">
        <f>IF('Définition PERGOSOLAR'!$G$22="Yes",G53,G53*'Définition PERGOSOLAR'!$G$6)+H53</f>
        <v>0</v>
      </c>
      <c r="K53" s="626"/>
      <c r="L53" s="624"/>
    </row>
    <row r="54" spans="1:12" s="622" customFormat="1" ht="39.950000000000003" customHeight="1">
      <c r="A54" s="617" t="s">
        <v>1750</v>
      </c>
      <c r="B54" s="618"/>
      <c r="C54" s="619" t="str">
        <f>Traduction!A464</f>
        <v>PG STORE VERTICAL l4147 9010BRI 201</v>
      </c>
      <c r="D54" s="620" t="s">
        <v>1852</v>
      </c>
      <c r="E54" s="621">
        <v>35</v>
      </c>
      <c r="F54" s="619" t="str">
        <f>Traduction!A480</f>
        <v>STORE VERTICAL l4147*2400 9010, Mermet satiné 5500-0201
RS SMART 100, moteur FAHER ONE + 1 interrupteur à appliquer</v>
      </c>
      <c r="G54" s="620">
        <f>IF('Définition PERGOSOLAR'!$G$16=9010,IF(Info!$Q$29=3943,'Définition PERGOSOLAR'!G41,0),0)</f>
        <v>0</v>
      </c>
      <c r="H54" s="650"/>
      <c r="I54" s="857">
        <f>IF('Définition PERGOSOLAR'!$G$22="Yes",G54,G54*'Définition PERGOSOLAR'!$G$6)+H54</f>
        <v>0</v>
      </c>
      <c r="K54" s="626"/>
      <c r="L54" s="624"/>
    </row>
    <row r="55" spans="1:12" s="622" customFormat="1" ht="39.950000000000003" customHeight="1">
      <c r="A55" s="617" t="s">
        <v>1751</v>
      </c>
      <c r="B55" s="618"/>
      <c r="C55" s="619" t="str">
        <f>Traduction!A465</f>
        <v>PG STORE VERTICAL l5315 7016MAT 201</v>
      </c>
      <c r="D55" s="620" t="s">
        <v>1850</v>
      </c>
      <c r="E55" s="621">
        <v>42</v>
      </c>
      <c r="F55" s="619" t="str">
        <f>Traduction!A481</f>
        <v>STORE VERTICAL l5315*2400 7016MAT, Mermet satiné 5500-0201
RS SMART 100, moteur FAHER ONE + 1 interrupteur à appliquer</v>
      </c>
      <c r="G55" s="620">
        <f>IF('Définition PERGOSOLAR'!$G$16=7016,IF(Info!$Q$29=5043,'Définition PERGOSOLAR'!G41,0),0)</f>
        <v>0</v>
      </c>
      <c r="H55" s="650"/>
      <c r="I55" s="857">
        <f>IF('Définition PERGOSOLAR'!$G$22="Yes",G55,G55*'Définition PERGOSOLAR'!$G$6)+H55</f>
        <v>0</v>
      </c>
      <c r="K55" s="626"/>
      <c r="L55" s="624"/>
    </row>
    <row r="56" spans="1:12" s="622" customFormat="1" ht="39.950000000000003" customHeight="1">
      <c r="A56" s="617" t="s">
        <v>1752</v>
      </c>
      <c r="B56" s="618"/>
      <c r="C56" s="619" t="str">
        <f>Traduction!A466</f>
        <v>PG STORE VERTICAL l5315 9010BRI 201</v>
      </c>
      <c r="D56" s="620" t="s">
        <v>1850</v>
      </c>
      <c r="E56" s="621">
        <v>42</v>
      </c>
      <c r="F56" s="619" t="str">
        <f>Traduction!A482</f>
        <v>STORE VERTICAL l5315*2400 9010, Mermet satiné 5500-0201
RS SMART 100, moteur FAHER ONE + 1 interrupteur à appliquer</v>
      </c>
      <c r="G56" s="620">
        <f>IF('Définition PERGOSOLAR'!$G$16=9010,IF(Info!$Q$29=5043,'Définition PERGOSOLAR'!G41,0),0)</f>
        <v>0</v>
      </c>
      <c r="H56" s="650"/>
      <c r="I56" s="857">
        <f>IF('Définition PERGOSOLAR'!$G$22="Yes",G56,G56*'Définition PERGOSOLAR'!$G$6)+H56</f>
        <v>0</v>
      </c>
      <c r="K56" s="626"/>
      <c r="L56" s="624"/>
    </row>
    <row r="57" spans="1:12" s="622" customFormat="1" ht="39.950000000000003" customHeight="1">
      <c r="A57" s="617" t="s">
        <v>1753</v>
      </c>
      <c r="B57" s="618"/>
      <c r="C57" s="619" t="str">
        <f>Traduction!A467</f>
        <v>PG STORE VERTICAL l5374 7016MAT 201</v>
      </c>
      <c r="D57" s="620" t="s">
        <v>1850</v>
      </c>
      <c r="E57" s="621">
        <v>42</v>
      </c>
      <c r="F57" s="619" t="str">
        <f>Traduction!A483</f>
        <v>STORE VERTICAL l5374*2400 7016MAT, Mermet satiné 5500-0201
RS SMART 100, moteur FAHER ONE + 1 interrupteur à appliquer</v>
      </c>
      <c r="G57" s="620">
        <f>IF('Définition PERGOSOLAR'!$G$16=7016,IF(Info!$R$29=5074,'Définition PERGOSOLAR'!G43,0),0)</f>
        <v>1</v>
      </c>
      <c r="H57" s="650"/>
      <c r="I57" s="857">
        <f>IF('Définition PERGOSOLAR'!$G$22="Yes",G57,G57*'Définition PERGOSOLAR'!$G$6)+H57</f>
        <v>1</v>
      </c>
      <c r="K57" s="626"/>
      <c r="L57" s="624"/>
    </row>
    <row r="58" spans="1:12" s="622" customFormat="1" ht="39.950000000000003" customHeight="1">
      <c r="A58" s="617" t="s">
        <v>1754</v>
      </c>
      <c r="B58" s="618"/>
      <c r="C58" s="619" t="str">
        <f>Traduction!A468</f>
        <v>PG STORE VERTICAL l5374 9010BRI 201</v>
      </c>
      <c r="D58" s="620" t="s">
        <v>1850</v>
      </c>
      <c r="E58" s="621">
        <v>42</v>
      </c>
      <c r="F58" s="619" t="str">
        <f>Traduction!A484</f>
        <v>STORE VERTICAL l5374*2400 9010, Mermet satiné 5500-0201
RS SMART 100, moteur FAHER ONE + 1 interrupteur à appliquer</v>
      </c>
      <c r="G58" s="620">
        <f>IF('Définition PERGOSOLAR'!$G$16=9010,IF(Info!$R$29=5074,'Définition PERGOSOLAR'!G43,0),0)</f>
        <v>0</v>
      </c>
      <c r="H58" s="650"/>
      <c r="I58" s="857">
        <f>IF('Définition PERGOSOLAR'!$G$22="Yes",G58,G58*'Définition PERGOSOLAR'!$G$6)+H58</f>
        <v>0</v>
      </c>
      <c r="K58" s="626"/>
      <c r="L58" s="624"/>
    </row>
    <row r="59" spans="1:12" s="622" customFormat="1" ht="39.950000000000003" customHeight="1">
      <c r="A59" s="617" t="s">
        <v>1755</v>
      </c>
      <c r="B59" s="618"/>
      <c r="C59" s="619" t="str">
        <f>Traduction!A469</f>
        <v>PG STORE VERTICAL l5465 7016MAT 201</v>
      </c>
      <c r="D59" s="620" t="s">
        <v>1853</v>
      </c>
      <c r="E59" s="621">
        <v>44</v>
      </c>
      <c r="F59" s="619" t="str">
        <f>Traduction!A485</f>
        <v>STORE VERTICAL l5465*2400 7016MAT, Mermet satiné 5500-0201
RS SMART 100, moteur FAHER ONE + 1 interrupteur à appliquer</v>
      </c>
      <c r="G59" s="620">
        <f>IF('Définition PERGOSOLAR'!$G$16=7016,IF(Info!$Q$29=5193,'Définition PERGOSOLAR'!G41,0),0)</f>
        <v>0</v>
      </c>
      <c r="H59" s="650"/>
      <c r="I59" s="857">
        <f>IF('Définition PERGOSOLAR'!$G$22="Yes",G59,G59*'Définition PERGOSOLAR'!$G$6)+H59</f>
        <v>0</v>
      </c>
      <c r="K59" s="626"/>
      <c r="L59" s="624"/>
    </row>
    <row r="60" spans="1:12" s="622" customFormat="1" ht="39.950000000000003" customHeight="1">
      <c r="A60" s="617" t="s">
        <v>1756</v>
      </c>
      <c r="B60" s="618"/>
      <c r="C60" s="619" t="str">
        <f>Traduction!A470</f>
        <v>PG STORE VERTICAL l5465 9010BRI 201</v>
      </c>
      <c r="D60" s="620" t="s">
        <v>1853</v>
      </c>
      <c r="E60" s="621">
        <v>44</v>
      </c>
      <c r="F60" s="619" t="str">
        <f>Traduction!A486</f>
        <v>STORE VERTICAL l5465*2400 9010, Mermet satiné 5500-0201
RS SMART 100, moteur FAHER ONE + 1 interrupteur à appliquer</v>
      </c>
      <c r="G60" s="620">
        <f>IF('Définition PERGOSOLAR'!$G$16=9010,IF(Info!$Q$29=5193,'Définition PERGOSOLAR'!G41,0),0)</f>
        <v>0</v>
      </c>
      <c r="H60" s="650"/>
      <c r="I60" s="857">
        <f>IF('Définition PERGOSOLAR'!$G$22="Yes",G60,G60*'Définition PERGOSOLAR'!$G$6)+H60</f>
        <v>0</v>
      </c>
      <c r="K60" s="626"/>
      <c r="L60" s="624"/>
    </row>
    <row r="61" spans="1:12" s="622" customFormat="1" ht="39.950000000000003" customHeight="1">
      <c r="A61" s="617" t="s">
        <v>1839</v>
      </c>
      <c r="B61" s="618"/>
      <c r="C61" s="619" t="str">
        <f>Traduction!B493</f>
        <v>TELECOMMANDE TVNOON868NM63L</v>
      </c>
      <c r="D61" s="620" t="s">
        <v>1859</v>
      </c>
      <c r="E61" s="621">
        <v>0.10299999999999999</v>
      </c>
      <c r="F61" s="619" t="str">
        <f>Traduction!B493</f>
        <v>TELECOMMANDE TVNOON868NM63L</v>
      </c>
      <c r="G61" s="620">
        <f>IF(G34&gt;0,0,IF((G20+G21+G22+G23+G45+G46+G47+G48+G49+G50+G51+G52+G53+G54+G55+G56+G57+G58+G59+G60)&gt;0,1,0))</f>
        <v>0</v>
      </c>
      <c r="H61" s="650"/>
      <c r="I61" s="857">
        <f>G61+H61</f>
        <v>0</v>
      </c>
      <c r="K61" s="626"/>
      <c r="L61" s="624"/>
    </row>
    <row r="62" spans="1:12" s="622" customFormat="1" ht="39.950000000000003" customHeight="1">
      <c r="A62" s="617" t="s">
        <v>1825</v>
      </c>
      <c r="B62" s="618"/>
      <c r="C62" s="619" t="str">
        <f>Traduction!A489</f>
        <v>Récepteur IP54 pour moteur tubulaire (screen-store)  PGOVS</v>
      </c>
      <c r="D62" s="620" t="s">
        <v>1832</v>
      </c>
      <c r="E62" s="621">
        <v>0.24</v>
      </c>
      <c r="F62" s="619" t="str">
        <f>Traduction!A489</f>
        <v>Récepteur IP54 pour moteur tubulaire (screen-store)  PGOVS</v>
      </c>
      <c r="G62" s="620">
        <f>SUM(G45:G60)</f>
        <v>2</v>
      </c>
      <c r="H62" s="650"/>
      <c r="I62" s="857">
        <f>H62+SUM(I45:I60)</f>
        <v>2</v>
      </c>
      <c r="K62" s="626"/>
      <c r="L62" s="624"/>
    </row>
    <row r="63" spans="1:12" s="622" customFormat="1" ht="39.950000000000003" customHeight="1">
      <c r="A63" s="617" t="s">
        <v>1391</v>
      </c>
      <c r="B63" s="618"/>
      <c r="C63" s="619" t="str">
        <f>Traduction!A372</f>
        <v>CLAUSTRA COULISSANT LAMES OR. 1M 7016M</v>
      </c>
      <c r="D63" s="620" t="s">
        <v>1707</v>
      </c>
      <c r="E63" s="621">
        <v>43</v>
      </c>
      <c r="F63" s="619" t="str">
        <f>Traduction!A372</f>
        <v>CLAUSTRA COULISSANT LAMES OR. 1M 7016M</v>
      </c>
      <c r="G63" s="620">
        <f>IF('Définition PERGOSOLAR'!G48="Yes",IF('Définition PERGOSOLAR'!G49="1m",'Définition PERGOSOLAR'!G50,0),0)</f>
        <v>0</v>
      </c>
      <c r="H63" s="650"/>
      <c r="I63" s="857">
        <f>IF('Définition PERGOSOLAR'!$G$22="Yes",G63,G63*'Définition PERGOSOLAR'!$G$6)+H63</f>
        <v>0</v>
      </c>
      <c r="K63" s="626"/>
      <c r="L63" s="624"/>
    </row>
    <row r="64" spans="1:12" s="622" customFormat="1" ht="39.950000000000003" customHeight="1">
      <c r="A64" s="617" t="s">
        <v>1392</v>
      </c>
      <c r="B64" s="618"/>
      <c r="C64" s="619" t="str">
        <f>Traduction!A373</f>
        <v>CLAUSTRA COULISSANT LAMES OR. 2M 7016M</v>
      </c>
      <c r="D64" s="620" t="s">
        <v>1708</v>
      </c>
      <c r="E64" s="621">
        <v>83</v>
      </c>
      <c r="F64" s="619" t="str">
        <f>Traduction!A373</f>
        <v>CLAUSTRA COULISSANT LAMES OR. 2M 7016M</v>
      </c>
      <c r="G64" s="620">
        <f>IF('Définition PERGOSOLAR'!G48="Yes",IF('Définition PERGOSOLAR'!G49="2m",'Définition PERGOSOLAR'!G50,0),0)</f>
        <v>0</v>
      </c>
      <c r="H64" s="650"/>
      <c r="I64" s="857">
        <f>IF('Définition PERGOSOLAR'!$G$22="Yes",G64,G64*'Définition PERGOSOLAR'!$G$6)+H64</f>
        <v>0</v>
      </c>
      <c r="K64" s="626"/>
      <c r="L64" s="624"/>
    </row>
    <row r="65" spans="1:12" s="622" customFormat="1" ht="39.950000000000003" customHeight="1">
      <c r="A65" s="631" t="s">
        <v>1393</v>
      </c>
      <c r="B65" s="618"/>
      <c r="C65" s="619" t="str">
        <f>Traduction!A374</f>
        <v>CLAUSTRA FIXE LAMES OR. 1M 7016M</v>
      </c>
      <c r="D65" s="378" t="s">
        <v>1707</v>
      </c>
      <c r="E65" s="398">
        <v>42</v>
      </c>
      <c r="F65" s="619" t="str">
        <f>Traduction!A374</f>
        <v>CLAUSTRA FIXE LAMES OR. 1M 7016M</v>
      </c>
      <c r="G65" s="632">
        <f>IF('Définition PERGOSOLAR'!G45="Yes",IF('Définition PERGOSOLAR'!G46="1m",'Définition PERGOSOLAR'!G47,0),0)</f>
        <v>0</v>
      </c>
      <c r="H65" s="650"/>
      <c r="I65" s="857">
        <f>IF('Définition PERGOSOLAR'!$G$22="Yes",G65,G65*'Définition PERGOSOLAR'!$G$6)+H65</f>
        <v>0</v>
      </c>
      <c r="K65" s="626"/>
      <c r="L65" s="624"/>
    </row>
    <row r="66" spans="1:12" s="622" customFormat="1" ht="39.950000000000003" customHeight="1">
      <c r="A66" s="631" t="s">
        <v>1856</v>
      </c>
      <c r="B66" s="618"/>
      <c r="C66" s="619" t="str">
        <f>Traduction!A375</f>
        <v>CLAUSTRA FIXE LAMES OR. 2M 7016M</v>
      </c>
      <c r="D66" s="378" t="s">
        <v>1708</v>
      </c>
      <c r="E66" s="398">
        <v>82</v>
      </c>
      <c r="F66" s="619" t="str">
        <f>Traduction!A375</f>
        <v>CLAUSTRA FIXE LAMES OR. 2M 7016M</v>
      </c>
      <c r="G66" s="632">
        <f>IF('Définition PERGOSOLAR'!G45="Yes",IF('Définition PERGOSOLAR'!G46="2m",'Définition PERGOSOLAR'!G47,0),0)</f>
        <v>0</v>
      </c>
      <c r="H66" s="650"/>
      <c r="I66" s="857">
        <f>IF('Définition PERGOSOLAR'!$G$22="Yes",G66,G66*'Définition PERGOSOLAR'!$G$6)+H66</f>
        <v>0</v>
      </c>
      <c r="K66" s="626"/>
      <c r="L66" s="624"/>
    </row>
    <row r="67" spans="1:12" s="622" customFormat="1" ht="39.950000000000003" customHeight="1">
      <c r="A67" s="631" t="s">
        <v>1757</v>
      </c>
      <c r="B67" s="618"/>
      <c r="C67" s="619" t="str">
        <f>Traduction!A487</f>
        <v xml:space="preserve">PG ENS RAILS 2700 SUP INF ACC. 7016M </v>
      </c>
      <c r="D67" s="378" t="s">
        <v>1854</v>
      </c>
      <c r="E67" s="398">
        <v>6</v>
      </c>
      <c r="F67" s="619" t="str">
        <f>Traduction!A488</f>
        <v>Pour claustra coulissant, ensemble de 1 rail haut et bas 2700 mm avec accessoires de montage 
Couleur 7016 mat (gris)</v>
      </c>
      <c r="G67" s="632">
        <f>IF('Définition PERGOSOLAR'!G48="Yes",G63+G64,0)</f>
        <v>0</v>
      </c>
      <c r="H67" s="650"/>
      <c r="I67" s="857">
        <f>IF('Définition PERGOSOLAR'!$G$22="Yes",G67,G67*'Définition PERGOSOLAR'!$G$6)+H67</f>
        <v>0</v>
      </c>
      <c r="K67" s="626"/>
      <c r="L67" s="624"/>
    </row>
    <row r="68" spans="1:12" s="622" customFormat="1" ht="39.950000000000003" customHeight="1">
      <c r="A68" s="631" t="s">
        <v>1693</v>
      </c>
      <c r="B68" s="618"/>
      <c r="C68" s="619" t="str">
        <f>Traduction!A451</f>
        <v>PG KIT JUMELAGE 7016 MAT</v>
      </c>
      <c r="D68" s="620" t="s">
        <v>1863</v>
      </c>
      <c r="E68" s="621">
        <v>1</v>
      </c>
      <c r="F68" s="619" t="str">
        <f>Traduction!A451</f>
        <v>PG KIT JUMELAGE 7016 MAT</v>
      </c>
      <c r="G68" s="632">
        <f>IF('Définition PERGOSOLAR'!G22="Yes",IF('Définition PERGOSOLAR'!G16=7016,'Définition PERGOSOLAR'!G6-1,0),0)</f>
        <v>0</v>
      </c>
      <c r="H68" s="650"/>
      <c r="I68" s="857">
        <f>IF('Définition PERGOSOLAR'!G22="Yes",G68,0)+H68</f>
        <v>0</v>
      </c>
      <c r="K68" s="626"/>
      <c r="L68" s="624"/>
    </row>
    <row r="69" spans="1:12" s="622" customFormat="1" ht="39.950000000000003" customHeight="1">
      <c r="A69" s="631" t="s">
        <v>1694</v>
      </c>
      <c r="B69" s="618"/>
      <c r="C69" s="619" t="str">
        <f>Traduction!A452</f>
        <v>PG KIT JUMELAGE 9010 BRI</v>
      </c>
      <c r="D69" s="620" t="s">
        <v>1863</v>
      </c>
      <c r="E69" s="621">
        <v>1</v>
      </c>
      <c r="F69" s="619" t="str">
        <f>Traduction!A452</f>
        <v>PG KIT JUMELAGE 9010 BRI</v>
      </c>
      <c r="G69" s="632">
        <f>IF('Définition PERGOSOLAR'!G22="Yes",IF('Définition PERGOSOLAR'!G16=9010,'Définition PERGOSOLAR'!G6-1,0),0)</f>
        <v>0</v>
      </c>
      <c r="H69" s="650"/>
      <c r="I69" s="857">
        <f>IF('Définition PERGOSOLAR'!G22="Yes",G69,0)+H69</f>
        <v>0</v>
      </c>
      <c r="K69" s="626"/>
      <c r="L69" s="624"/>
    </row>
    <row r="70" spans="1:12" s="622" customFormat="1" ht="39.950000000000003" customHeight="1">
      <c r="A70" s="617" t="s">
        <v>1919</v>
      </c>
      <c r="B70" s="618"/>
      <c r="C70" s="619" t="str">
        <f>Traduction!A273</f>
        <v>KIT STRUCTURE 4 ANGLES 7016 MAT</v>
      </c>
      <c r="D70" s="620" t="s">
        <v>801</v>
      </c>
      <c r="E70" s="621">
        <v>6.36</v>
      </c>
      <c r="F70" s="619" t="str">
        <f>Traduction!A324</f>
        <v>4 NOIX, BOUCHONS, JOINTS et PASSE-CABLES EN NOIR</v>
      </c>
      <c r="G70" s="620">
        <f>IF('Définition PERGOSOLAR'!G16=7016,IF((G7+G9+G13+G17+G11+G15)&gt;0,1,0),0)</f>
        <v>1</v>
      </c>
      <c r="H70" s="650"/>
      <c r="I70" s="857">
        <f>G70*'Définition PERGOSOLAR'!$G$6+H70</f>
        <v>1</v>
      </c>
      <c r="K70" s="626"/>
      <c r="L70" s="624"/>
    </row>
    <row r="71" spans="1:12" s="622" customFormat="1" ht="39.950000000000003" customHeight="1">
      <c r="A71" s="617" t="s">
        <v>1465</v>
      </c>
      <c r="B71" s="618"/>
      <c r="C71" s="619" t="str">
        <f>Traduction!A274</f>
        <v>KIT STRUCTURE 4 ANGLES 9010 BRILLANT</v>
      </c>
      <c r="D71" s="620" t="s">
        <v>801</v>
      </c>
      <c r="E71" s="621">
        <v>6.36</v>
      </c>
      <c r="F71" s="619" t="str">
        <f>Traduction!A325</f>
        <v>4 NOIX, BOUCHONS, JOINTS et PASSE-CABLES EN BLANC</v>
      </c>
      <c r="G71" s="620">
        <f>IF('Définition PERGOSOLAR'!G16=9010,IF((G10+G14+G16+G8+G12+G18)&gt;0,1,0),0)</f>
        <v>0</v>
      </c>
      <c r="H71" s="650"/>
      <c r="I71" s="857">
        <f>G71*'Définition PERGOSOLAR'!$G$6+H71</f>
        <v>0</v>
      </c>
      <c r="K71" s="626"/>
      <c r="L71" s="624"/>
    </row>
    <row r="72" spans="1:12" s="622" customFormat="1" ht="39.950000000000003" customHeight="1">
      <c r="A72" s="617" t="s">
        <v>998</v>
      </c>
      <c r="B72" s="618"/>
      <c r="C72" s="639" t="str">
        <f>Traduction!A333</f>
        <v>FRAIS DE LIVRAISON France grande Pergosolar (formats autres que 2x2)</v>
      </c>
      <c r="D72" s="640"/>
      <c r="E72" s="641"/>
      <c r="F72" s="639" t="str">
        <f>Traduction!A333</f>
        <v>FRAIS DE LIVRAISON France grande Pergosolar (formats autres que 2x2)</v>
      </c>
      <c r="G72" s="640">
        <f>IF(Instructions!$J$7&lt;&gt;"Français",0,IF('Définition PERGOSOLAR'!G54="yes",IF(G73=1,0,1),0))</f>
        <v>0</v>
      </c>
      <c r="H72" s="642"/>
      <c r="I72" s="857">
        <f>G72*'Définition PERGOSOLAR'!$G$6+H72</f>
        <v>0</v>
      </c>
      <c r="K72" s="626"/>
      <c r="L72" s="624"/>
    </row>
    <row r="73" spans="1:12" s="622" customFormat="1" ht="39.950000000000003" customHeight="1">
      <c r="A73" s="617" t="s">
        <v>999</v>
      </c>
      <c r="B73" s="618"/>
      <c r="C73" s="639" t="str">
        <f>Traduction!A334</f>
        <v>FRAIS DE LIVRAISON France petite Pergola (format 2X2)</v>
      </c>
      <c r="D73" s="640"/>
      <c r="E73" s="620"/>
      <c r="F73" s="639" t="str">
        <f>Traduction!A334</f>
        <v>FRAIS DE LIVRAISON France petite Pergola (format 2X2)</v>
      </c>
      <c r="G73" s="640">
        <f>IF(Instructions!$J$7&lt;&gt;"Français",0,IF('Définition PERGOSOLAR'!G54="yes",IF(Info!C14=Info!C2,1,IF(Info!C14=Info!C3,1,0)),0))</f>
        <v>0</v>
      </c>
      <c r="H73" s="642"/>
      <c r="I73" s="857">
        <f>G73*'Définition PERGOSOLAR'!$G$6+H73</f>
        <v>0</v>
      </c>
      <c r="K73" s="626"/>
      <c r="L73" s="624"/>
    </row>
    <row r="74" spans="1:12" s="622" customFormat="1" ht="39.950000000000003" customHeight="1" thickBot="1">
      <c r="A74" s="643" t="s">
        <v>1436</v>
      </c>
      <c r="B74" s="644"/>
      <c r="C74" s="645" t="str">
        <f>Traduction!A390</f>
        <v>Forfait Belgique/Luxembourg</v>
      </c>
      <c r="D74" s="646"/>
      <c r="E74" s="646"/>
      <c r="F74" s="645" t="str">
        <f>Traduction!A390</f>
        <v>Forfait Belgique/Luxembourg</v>
      </c>
      <c r="G74" s="646">
        <f>IF('Définition PERGOSOLAR'!G54="Yes",IF('Définition PERGOSOLAR'!G56=Traduction!A386,1,0),0)</f>
        <v>0</v>
      </c>
      <c r="H74" s="647"/>
      <c r="I74" s="858">
        <f>G74*'Définition PERGOSOLAR'!$G$6+H74</f>
        <v>0</v>
      </c>
      <c r="K74" s="626"/>
      <c r="L74" s="624"/>
    </row>
    <row r="75" spans="1:12" ht="15.75" thickBot="1">
      <c r="A75" s="371"/>
      <c r="B75" s="371"/>
      <c r="C75" s="371"/>
      <c r="D75" s="371"/>
      <c r="E75" s="371"/>
      <c r="F75" s="853" t="str">
        <f>Traduction!A64</f>
        <v>Poids (Kg)</v>
      </c>
      <c r="G75" s="854">
        <f>E7*I7+E8*I8+E9*I9+E10*I10+E11*I11+E12*I12+E13*I13+E14*I14+E15*I15+E16*I16+E17*I17+E18*I18+E19*I19+E20*I20+E21*I21+E22*I22+E23*I23+E24*I24+E25*I25+E26*I26+E27*I27+E28*I28+E29*I29+E30*I30+E31*I31+E32*I32+E33*I33+E34*I34+E35*I35+E36*I36+E37*I37+E38*I38+E39*I39+E40*I40+E41*I41+E42*I42+E45*I45+E46*I46+E47*I47+E48*I48+E49*I49+E50*I50+E51*I51+E52*I52+E53*I53+E54*I54+E55*I55+E56*I56+E57*I57+E58*I58+E59*I59+E60*I60+E63*I63+E64*I64+E65*I65+E66*I66+E67*I67+E68*I68+E69*I69+E70*I70+E71*I71</f>
        <v>799.33</v>
      </c>
      <c r="H75" s="372"/>
      <c r="I75" s="371"/>
      <c r="K75" s="383"/>
      <c r="L75" s="77"/>
    </row>
    <row r="76" spans="1:12">
      <c r="A76" s="371"/>
      <c r="B76" s="371"/>
      <c r="C76" s="371"/>
      <c r="D76" s="371"/>
      <c r="E76" s="371"/>
      <c r="F76" s="426"/>
      <c r="G76" s="427"/>
      <c r="H76" s="372"/>
      <c r="I76" s="371"/>
      <c r="K76" s="383"/>
      <c r="L76" s="77"/>
    </row>
    <row r="77" spans="1:12">
      <c r="H77" s="12"/>
    </row>
    <row r="78" spans="1:12">
      <c r="H78" s="12"/>
    </row>
    <row r="79" spans="1:12">
      <c r="H79" s="12"/>
    </row>
    <row r="80" spans="1:12">
      <c r="H80" s="12"/>
    </row>
    <row r="81" spans="8:8">
      <c r="H81" s="12"/>
    </row>
    <row r="82" spans="8:8">
      <c r="H82" s="12"/>
    </row>
    <row r="83" spans="8:8">
      <c r="H83" s="12"/>
    </row>
    <row r="84" spans="8:8">
      <c r="H84" s="12"/>
    </row>
    <row r="85" spans="8:8">
      <c r="H85" s="12"/>
    </row>
    <row r="86" spans="8:8">
      <c r="H86" s="12"/>
    </row>
  </sheetData>
  <sheetProtection algorithmName="SHA-512" hashValue="xgpZd3dkmI4zAxldSy6PKycKewyiN7wTFvfGBNRNqklU9KQioqftXiVfz7ktqLBz6CR2cmwPfDUWZDVqE3LdGw==" saltValue="nuym/H9QHPUVVuIos1VOcw==" spinCount="100000" sheet="1" selectLockedCells="1"/>
  <mergeCells count="2">
    <mergeCell ref="A1:I1"/>
    <mergeCell ref="A5:I5"/>
  </mergeCells>
  <conditionalFormatting sqref="A69:B69 H69:I69 A65:C66 I34 A7:I18 D69:E69 F65:I66 A35:C36 F35:I36 A33:C33 F33:I33 A29:I32 A28:C28 F28:I28 A26:I27 A24:C25 F24:I25 A20:I23 A19:C19 F19:I19 A70:I72 A37:I44">
    <cfRule type="expression" dxfId="37" priority="27">
      <formula>$I7&gt;0</formula>
    </cfRule>
  </conditionalFormatting>
  <conditionalFormatting sqref="I65:I66">
    <cfRule type="expression" dxfId="36" priority="25">
      <formula>$I$63&gt;1</formula>
    </cfRule>
  </conditionalFormatting>
  <conditionalFormatting sqref="A68:F68 H68:I68 C69 F69">
    <cfRule type="expression" dxfId="35" priority="24">
      <formula>$I68&gt;0</formula>
    </cfRule>
  </conditionalFormatting>
  <conditionalFormatting sqref="G68">
    <cfRule type="expression" dxfId="34" priority="23">
      <formula>$I68&gt;0</formula>
    </cfRule>
  </conditionalFormatting>
  <conditionalFormatting sqref="G69">
    <cfRule type="expression" dxfId="33" priority="22">
      <formula>$I69&gt;0</formula>
    </cfRule>
  </conditionalFormatting>
  <conditionalFormatting sqref="A74:H74">
    <cfRule type="expression" dxfId="32" priority="21">
      <formula>$I74&gt;0</formula>
    </cfRule>
  </conditionalFormatting>
  <conditionalFormatting sqref="A73:I73 I74">
    <cfRule type="expression" dxfId="31" priority="20">
      <formula>$I73&gt;0</formula>
    </cfRule>
  </conditionalFormatting>
  <conditionalFormatting sqref="A34:C34 F34:H34">
    <cfRule type="expression" dxfId="30" priority="19">
      <formula>$I34&gt;0</formula>
    </cfRule>
  </conditionalFormatting>
  <conditionalFormatting sqref="D65:D66">
    <cfRule type="expression" dxfId="29" priority="17">
      <formula>$I65&gt;0</formula>
    </cfRule>
  </conditionalFormatting>
  <conditionalFormatting sqref="E65:E66">
    <cfRule type="expression" dxfId="28" priority="15">
      <formula>$I65&gt;0</formula>
    </cfRule>
  </conditionalFormatting>
  <conditionalFormatting sqref="D35:E36">
    <cfRule type="expression" dxfId="27" priority="13">
      <formula>$I35&gt;0</formula>
    </cfRule>
  </conditionalFormatting>
  <conditionalFormatting sqref="D34:E34">
    <cfRule type="expression" dxfId="26" priority="12">
      <formula>$I34&gt;0</formula>
    </cfRule>
  </conditionalFormatting>
  <conditionalFormatting sqref="D33:E33">
    <cfRule type="expression" dxfId="25" priority="11">
      <formula>$I33&gt;0</formula>
    </cfRule>
  </conditionalFormatting>
  <conditionalFormatting sqref="D28:E28">
    <cfRule type="expression" dxfId="24" priority="10">
      <formula>$I28&gt;0</formula>
    </cfRule>
  </conditionalFormatting>
  <conditionalFormatting sqref="D24:E25">
    <cfRule type="expression" dxfId="23" priority="9">
      <formula>$I24&gt;0</formula>
    </cfRule>
  </conditionalFormatting>
  <conditionalFormatting sqref="D19:E19">
    <cfRule type="expression" dxfId="22" priority="8">
      <formula>$I19&gt;0</formula>
    </cfRule>
  </conditionalFormatting>
  <conditionalFormatting sqref="B67:C67 F67:I67">
    <cfRule type="expression" dxfId="21" priority="7">
      <formula>$I67&gt;0</formula>
    </cfRule>
  </conditionalFormatting>
  <conditionalFormatting sqref="I67">
    <cfRule type="expression" dxfId="20" priority="6">
      <formula>$I$63&gt;1</formula>
    </cfRule>
  </conditionalFormatting>
  <conditionalFormatting sqref="D67">
    <cfRule type="expression" dxfId="19" priority="5">
      <formula>$I67&gt;0</formula>
    </cfRule>
  </conditionalFormatting>
  <conditionalFormatting sqref="E67">
    <cfRule type="expression" dxfId="18" priority="4">
      <formula>$I67&gt;0</formula>
    </cfRule>
  </conditionalFormatting>
  <conditionalFormatting sqref="A45:I64">
    <cfRule type="expression" dxfId="17" priority="3">
      <formula>$I45&gt;0</formula>
    </cfRule>
  </conditionalFormatting>
  <conditionalFormatting sqref="A67">
    <cfRule type="expression" dxfId="16" priority="2">
      <formula>$I67&gt;0</formula>
    </cfRule>
  </conditionalFormatting>
  <pageMargins left="0" right="0" top="0" bottom="0" header="0" footer="0"/>
  <pageSetup paperSize="9" scale="2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40AE3-FB23-4FCE-A7A4-A99C21A28C3F}">
  <sheetPr codeName="Feuil9">
    <pageSetUpPr fitToPage="1"/>
  </sheetPr>
  <dimension ref="A1:P37"/>
  <sheetViews>
    <sheetView showGridLines="0" view="pageLayout" zoomScale="95" zoomScaleNormal="98" zoomScalePageLayoutView="95" workbookViewId="0">
      <selection activeCell="B22" sqref="B22"/>
    </sheetView>
  </sheetViews>
  <sheetFormatPr baseColWidth="10" defaultColWidth="11.42578125" defaultRowHeight="15"/>
  <cols>
    <col min="1" max="1" width="3.42578125" style="408" customWidth="1"/>
    <col min="2" max="2" width="25.28515625" style="408" customWidth="1"/>
    <col min="3" max="3" width="30.85546875" style="408" customWidth="1"/>
    <col min="4" max="4" width="2" style="408" bestFit="1" customWidth="1"/>
    <col min="5" max="5" width="14.7109375" style="633" customWidth="1"/>
    <col min="6" max="6" width="2" style="633" bestFit="1" customWidth="1"/>
    <col min="7" max="7" width="14.7109375" style="633" customWidth="1"/>
    <col min="8" max="8" width="2" style="633" bestFit="1" customWidth="1"/>
    <col min="9" max="9" width="14.7109375" style="633" customWidth="1"/>
    <col min="10" max="10" width="2" style="633" bestFit="1" customWidth="1"/>
    <col min="11" max="11" width="14.7109375" style="633" customWidth="1"/>
    <col min="12" max="12" width="2" style="633" bestFit="1" customWidth="1"/>
    <col min="13" max="13" width="14.7109375" style="633" customWidth="1"/>
    <col min="14" max="14" width="3" style="633" bestFit="1" customWidth="1"/>
    <col min="15" max="15" width="14.7109375" style="633" customWidth="1"/>
    <col min="16" max="16" width="3.85546875" style="408" customWidth="1"/>
    <col min="17" max="16384" width="11.42578125" style="408"/>
  </cols>
  <sheetData>
    <row r="1" spans="1:16" ht="33" customHeight="1">
      <c r="A1" s="476"/>
      <c r="B1" s="717" t="str">
        <f>Traduction!A362</f>
        <v>Vue rapide - Définition tarifaire PERGOSOLAR IRFTS - Prix Publics HT</v>
      </c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477"/>
    </row>
    <row r="2" spans="1:16" ht="27" customHeight="1" thickBot="1">
      <c r="A2" s="478"/>
      <c r="B2" s="479"/>
      <c r="C2" s="479"/>
      <c r="D2" s="479"/>
      <c r="E2" s="724" t="s">
        <v>1719</v>
      </c>
      <c r="F2" s="724"/>
      <c r="G2" s="724"/>
      <c r="H2" s="724"/>
      <c r="I2" s="724"/>
      <c r="J2" s="480"/>
      <c r="K2" s="480"/>
      <c r="L2" s="480"/>
      <c r="M2" s="576" t="str">
        <f>'Définition PERGOSOLAR'!F3</f>
        <v>Version 3.3</v>
      </c>
      <c r="N2" s="480"/>
      <c r="O2" s="480"/>
      <c r="P2" s="481"/>
    </row>
    <row r="3" spans="1:16">
      <c r="A3" s="478"/>
      <c r="B3" s="482" t="s">
        <v>1015</v>
      </c>
      <c r="C3" s="483"/>
      <c r="D3" s="484"/>
      <c r="E3" s="485" t="s">
        <v>1016</v>
      </c>
      <c r="F3" s="486"/>
      <c r="G3" s="485" t="s">
        <v>1017</v>
      </c>
      <c r="H3" s="486"/>
      <c r="I3" s="485" t="s">
        <v>1018</v>
      </c>
      <c r="J3" s="486"/>
      <c r="K3" s="485" t="s">
        <v>1019</v>
      </c>
      <c r="L3" s="486"/>
      <c r="M3" s="485" t="s">
        <v>1020</v>
      </c>
      <c r="N3" s="486"/>
      <c r="O3" s="487" t="s">
        <v>1021</v>
      </c>
      <c r="P3" s="481"/>
    </row>
    <row r="4" spans="1:16">
      <c r="A4" s="478"/>
      <c r="B4" s="488" t="str">
        <f>Traduction!A335</f>
        <v>Surface au sol (m²)</v>
      </c>
      <c r="C4" s="412"/>
      <c r="D4" s="25"/>
      <c r="E4" s="489">
        <v>12</v>
      </c>
      <c r="F4" s="25"/>
      <c r="G4" s="489">
        <v>17</v>
      </c>
      <c r="H4" s="490"/>
      <c r="I4" s="489">
        <v>17</v>
      </c>
      <c r="J4" s="490"/>
      <c r="K4" s="489">
        <v>22</v>
      </c>
      <c r="L4" s="490"/>
      <c r="M4" s="489">
        <v>24</v>
      </c>
      <c r="N4" s="490"/>
      <c r="O4" s="491">
        <v>32</v>
      </c>
      <c r="P4" s="481"/>
    </row>
    <row r="5" spans="1:16">
      <c r="A5" s="478"/>
      <c r="B5" s="492" t="str">
        <f>Traduction!A336</f>
        <v>Puissance crête* (kWc)</v>
      </c>
      <c r="C5" s="422" t="str">
        <f>Traduction!A365</f>
        <v>Version 100% PV</v>
      </c>
      <c r="D5" s="70"/>
      <c r="E5" s="718">
        <f>4*'Définition PERGOSOLAR'!G12/1000</f>
        <v>1.2</v>
      </c>
      <c r="F5" s="493"/>
      <c r="G5" s="720">
        <f>6*'Définition PERGOSOLAR'!G12/1000</f>
        <v>1.8</v>
      </c>
      <c r="H5" s="494"/>
      <c r="I5" s="718">
        <f>6*'Définition PERGOSOLAR'!G12/1000</f>
        <v>1.8</v>
      </c>
      <c r="J5" s="493"/>
      <c r="K5" s="720">
        <f>8*'Définition PERGOSOLAR'!G12/1000</f>
        <v>2.4</v>
      </c>
      <c r="L5" s="494"/>
      <c r="M5" s="718">
        <f>9*'Définition PERGOSOLAR'!G12/1000</f>
        <v>2.7</v>
      </c>
      <c r="N5" s="493"/>
      <c r="O5" s="722">
        <f>12*'Définition PERGOSOLAR'!G12/1000</f>
        <v>3.6</v>
      </c>
      <c r="P5" s="481"/>
    </row>
    <row r="6" spans="1:16">
      <c r="A6" s="478"/>
      <c r="B6" s="207" t="str">
        <f>Traduction!A337</f>
        <v>*Puissance du module PV à renseigner dans l'onglet Définition</v>
      </c>
      <c r="C6" s="545"/>
      <c r="D6" s="495"/>
      <c r="E6" s="719"/>
      <c r="F6" s="496"/>
      <c r="G6" s="721"/>
      <c r="H6" s="539"/>
      <c r="I6" s="719"/>
      <c r="J6" s="496"/>
      <c r="K6" s="721"/>
      <c r="L6" s="539"/>
      <c r="M6" s="719"/>
      <c r="N6" s="496"/>
      <c r="O6" s="723"/>
      <c r="P6" s="481"/>
    </row>
    <row r="7" spans="1:16" ht="15.75" thickBot="1">
      <c r="A7" s="478"/>
      <c r="B7" s="497" t="str">
        <f>Traduction!A338</f>
        <v>L x l x Hauteur 2672mm (Hauteur de pied 2400mm)</v>
      </c>
      <c r="C7" s="498"/>
      <c r="D7" s="499"/>
      <c r="E7" s="500" t="s">
        <v>1713</v>
      </c>
      <c r="F7" s="501"/>
      <c r="G7" s="502" t="s">
        <v>1714</v>
      </c>
      <c r="H7" s="500"/>
      <c r="I7" s="500" t="s">
        <v>1715</v>
      </c>
      <c r="J7" s="501"/>
      <c r="K7" s="502" t="s">
        <v>1717</v>
      </c>
      <c r="L7" s="500"/>
      <c r="M7" s="500" t="s">
        <v>1716</v>
      </c>
      <c r="N7" s="501"/>
      <c r="O7" s="503" t="s">
        <v>1718</v>
      </c>
      <c r="P7" s="481"/>
    </row>
    <row r="8" spans="1:16" ht="7.5" customHeight="1" thickBot="1">
      <c r="A8" s="478"/>
      <c r="B8" s="479"/>
      <c r="C8" s="479"/>
      <c r="D8" s="479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1"/>
    </row>
    <row r="9" spans="1:16">
      <c r="A9" s="478"/>
      <c r="B9" s="482" t="str">
        <f>Traduction!A339</f>
        <v>PRIX STRUCTURE SEULE</v>
      </c>
      <c r="C9" s="504" t="str">
        <f>Traduction!A352</f>
        <v xml:space="preserve">à partir de </v>
      </c>
      <c r="D9" s="504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487"/>
      <c r="P9" s="481"/>
    </row>
    <row r="10" spans="1:16">
      <c r="A10" s="478"/>
      <c r="B10" s="488" t="str">
        <f>Traduction!A344</f>
        <v>Prix Public recommandé</v>
      </c>
      <c r="C10" s="385" t="str">
        <f>Traduction!A340</f>
        <v>Version 2 PIEDS</v>
      </c>
      <c r="D10" s="25"/>
      <c r="E10" s="506" t="e">
        <f>'Nomenclature HARMONY'!#REF!+'Nomenclature HARMONY'!#REF!+'Nomenclature HARMONY'!#REF!*2+'Nomenclature HARMONY'!#REF!+'Nomenclature HARMONY'!#REF!+'Nomenclature HARMONY'!#REF!</f>
        <v>#REF!</v>
      </c>
      <c r="F10" s="635"/>
      <c r="G10" s="507" t="e">
        <f>'Nomenclature HARMONY'!#REF!+'Nomenclature HARMONY'!#REF!+'Nomenclature HARMONY'!#REF!*2+'Nomenclature HARMONY'!#REF!+'Nomenclature HARMONY'!#REF!+'Nomenclature HARMONY'!#REF!</f>
        <v>#REF!</v>
      </c>
      <c r="H10" s="634"/>
      <c r="I10" s="506" t="e">
        <f>'Nomenclature HARMONY'!#REF!+'Nomenclature HARMONY'!#REF!+'Nomenclature HARMONY'!#REF!*3+'Nomenclature HARMONY'!#REF!+'Nomenclature HARMONY'!#REF!+'Nomenclature HARMONY'!#REF!</f>
        <v>#REF!</v>
      </c>
      <c r="J10" s="635"/>
      <c r="K10" s="507" t="e">
        <f>'Nomenclature HARMONY'!#REF!+'Nomenclature HARMONY'!#REF!+'Nomenclature HARMONY'!#REF!*4+'Nomenclature HARMONY'!#REF!+'Nomenclature HARMONY'!#REF!+'Nomenclature HARMONY'!#REF!</f>
        <v>#REF!</v>
      </c>
      <c r="L10" s="634"/>
      <c r="M10" s="506" t="e">
        <f>'Nomenclature HARMONY'!#REF!+'Nomenclature HARMONY'!#REF!+'Nomenclature HARMONY'!#REF!*3+'Nomenclature HARMONY'!#REF!+'Nomenclature HARMONY'!#REF!+'Nomenclature HARMONY'!#REF!</f>
        <v>#REF!</v>
      </c>
      <c r="N10" s="634"/>
      <c r="O10" s="508" t="e">
        <f>'Nomenclature HARMONY'!#REF!+'Nomenclature HARMONY'!#REF!+'Nomenclature HARMONY'!#REF!*4+'Nomenclature HARMONY'!#REF!+'Nomenclature HARMONY'!#REF!+'Nomenclature HARMONY'!#REF!</f>
        <v>#REF!</v>
      </c>
      <c r="P10" s="481"/>
    </row>
    <row r="11" spans="1:16" ht="15.75" thickBot="1">
      <c r="A11" s="478"/>
      <c r="B11" s="509" t="str">
        <f>Traduction!A344</f>
        <v>Prix Public recommandé</v>
      </c>
      <c r="C11" s="540" t="str">
        <f>Traduction!A341</f>
        <v>Version 4 PIEDS</v>
      </c>
      <c r="D11" s="510"/>
      <c r="E11" s="511" t="e">
        <f>'Nomenclature HARMONY'!#REF!+2*'Nomenclature HARMONY'!#REF!+'Nomenclature HARMONY'!#REF!*2+'Nomenclature HARMONY'!#REF!*2+'Nomenclature HARMONY'!#REF!</f>
        <v>#REF!</v>
      </c>
      <c r="F11" s="212"/>
      <c r="G11" s="512" t="e">
        <f>'Nomenclature HARMONY'!#REF!+2*'Nomenclature HARMONY'!#REF!+'Nomenclature HARMONY'!#REF!*2+'Nomenclature HARMONY'!#REF!*2+'Nomenclature HARMONY'!#REF!</f>
        <v>#REF!</v>
      </c>
      <c r="H11" s="513"/>
      <c r="I11" s="511" t="e">
        <f>'Nomenclature HARMONY'!#REF!+2*'Nomenclature HARMONY'!#REF!+'Nomenclature HARMONY'!#REF!*3+'Nomenclature HARMONY'!#REF!*2+'Nomenclature HARMONY'!#REF!</f>
        <v>#REF!</v>
      </c>
      <c r="J11" s="212"/>
      <c r="K11" s="512" t="e">
        <f>'Nomenclature HARMONY'!#REF!+2*'Nomenclature HARMONY'!#REF!+'Nomenclature HARMONY'!#REF!*4+'Nomenclature HARMONY'!#REF!*2+'Nomenclature HARMONY'!#REF!</f>
        <v>#REF!</v>
      </c>
      <c r="L11" s="513"/>
      <c r="M11" s="511" t="e">
        <f>'Nomenclature HARMONY'!#REF!+2*'Nomenclature HARMONY'!#REF!+'Nomenclature HARMONY'!#REF!*3+'Nomenclature HARMONY'!#REF!*2+'Nomenclature HARMONY'!#REF!</f>
        <v>#REF!</v>
      </c>
      <c r="N11" s="513"/>
      <c r="O11" s="514" t="e">
        <f>'Nomenclature HARMONY'!#REF!+2*'Nomenclature HARMONY'!#REF!+'Nomenclature HARMONY'!#REF!*4+'Nomenclature HARMONY'!#REF!*2+'Nomenclature HARMONY'!#REF!</f>
        <v>#REF!</v>
      </c>
      <c r="P11" s="481"/>
    </row>
    <row r="12" spans="1:16" ht="8.25" customHeight="1" thickBot="1">
      <c r="A12" s="478"/>
      <c r="B12" s="479"/>
      <c r="C12" s="479"/>
      <c r="D12" s="479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1"/>
    </row>
    <row r="13" spans="1:16">
      <c r="A13" s="478"/>
      <c r="B13" s="518" t="str">
        <f>Traduction!A345</f>
        <v>OPTIONS</v>
      </c>
      <c r="C13" s="519" t="str">
        <f>Traduction!A352</f>
        <v xml:space="preserve">à partir de </v>
      </c>
      <c r="D13" s="519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1"/>
      <c r="P13" s="481"/>
    </row>
    <row r="14" spans="1:16">
      <c r="A14" s="478"/>
      <c r="B14" s="492" t="str">
        <f>Traduction!A346</f>
        <v>BIOCLIMATIQUE</v>
      </c>
      <c r="C14" s="515" t="str">
        <f>Traduction!A347</f>
        <v xml:space="preserve"> (1 rangée de 5 lames + actionneur)</v>
      </c>
      <c r="D14" s="70"/>
      <c r="E14" s="522" t="e">
        <f>'Nomenclature HARMONY'!#REF!+'Nomenclature HARMONY'!#REF!-'Nomenclature HARMONY'!#REF!</f>
        <v>#REF!</v>
      </c>
      <c r="F14" s="517"/>
      <c r="G14" s="517" t="e">
        <f>'Nomenclature HARMONY'!#REF!+'Nomenclature HARMONY'!#REF!-'Nomenclature HARMONY'!#REF!</f>
        <v>#REF!</v>
      </c>
      <c r="H14" s="516"/>
      <c r="I14" s="522" t="e">
        <f>'Nomenclature HARMONY'!#REF!+'Nomenclature HARMONY'!#REF!-'Nomenclature HARMONY'!#REF!</f>
        <v>#REF!</v>
      </c>
      <c r="J14" s="517"/>
      <c r="K14" s="517" t="e">
        <f>'Nomenclature HARMONY'!#REF!+'Nomenclature HARMONY'!#REF!-'Nomenclature HARMONY'!#REF!</f>
        <v>#REF!</v>
      </c>
      <c r="L14" s="516"/>
      <c r="M14" s="522" t="e">
        <f>'Nomenclature HARMONY'!#REF!+'Nomenclature HARMONY'!#REF!-'Nomenclature HARMONY'!#REF!</f>
        <v>#REF!</v>
      </c>
      <c r="N14" s="517"/>
      <c r="O14" s="523" t="e">
        <f>'Nomenclature HARMONY'!#REF!+'Nomenclature HARMONY'!#REF!-'Nomenclature HARMONY'!#REF!</f>
        <v>#REF!</v>
      </c>
      <c r="P14" s="481"/>
    </row>
    <row r="15" spans="1:16">
      <c r="A15" s="478"/>
      <c r="B15" s="492" t="str">
        <f>Traduction!A348</f>
        <v>RUBAN LED</v>
      </c>
      <c r="C15" s="515"/>
      <c r="D15" s="70"/>
      <c r="E15" s="547" t="e">
        <f>'Nomenclature HARMONY'!#REF!</f>
        <v>#REF!</v>
      </c>
      <c r="F15" s="548"/>
      <c r="G15" s="548" t="e">
        <f>'Nomenclature HARMONY'!#REF!</f>
        <v>#REF!</v>
      </c>
      <c r="H15" s="549"/>
      <c r="I15" s="547" t="e">
        <f>'Nomenclature HARMONY'!#REF!</f>
        <v>#REF!</v>
      </c>
      <c r="J15" s="548"/>
      <c r="K15" s="548" t="e">
        <f>'Nomenclature HARMONY'!#REF!</f>
        <v>#REF!</v>
      </c>
      <c r="L15" s="549"/>
      <c r="M15" s="547" t="e">
        <f>'Nomenclature HARMONY'!#REF!</f>
        <v>#REF!</v>
      </c>
      <c r="N15" s="548"/>
      <c r="O15" s="550" t="e">
        <f>'Nomenclature HARMONY'!#REF!</f>
        <v>#REF!</v>
      </c>
      <c r="P15" s="481"/>
    </row>
    <row r="16" spans="1:16">
      <c r="A16" s="478"/>
      <c r="B16" s="492" t="str">
        <f>Traduction!A349</f>
        <v>SPOTS LED ENCASTRABLES</v>
      </c>
      <c r="C16" s="515"/>
      <c r="D16" s="70"/>
      <c r="E16" s="522" t="e">
        <f>'Nomenclature HARMONY'!#REF!</f>
        <v>#REF!</v>
      </c>
      <c r="F16" s="517"/>
      <c r="G16" s="517" t="e">
        <f>'Nomenclature HARMONY'!#REF!</f>
        <v>#REF!</v>
      </c>
      <c r="H16" s="516"/>
      <c r="I16" s="522" t="e">
        <f>'Nomenclature HARMONY'!#REF!</f>
        <v>#REF!</v>
      </c>
      <c r="J16" s="517"/>
      <c r="K16" s="517" t="e">
        <f>'Nomenclature HARMONY'!#REF!</f>
        <v>#REF!</v>
      </c>
      <c r="L16" s="516"/>
      <c r="M16" s="522" t="e">
        <f>'Nomenclature HARMONY'!#REF!</f>
        <v>#REF!</v>
      </c>
      <c r="N16" s="517"/>
      <c r="O16" s="523" t="e">
        <f>'Nomenclature HARMONY'!#REF!</f>
        <v>#REF!</v>
      </c>
      <c r="P16" s="481"/>
    </row>
    <row r="17" spans="1:16">
      <c r="A17" s="478"/>
      <c r="B17" s="492" t="str">
        <f>Traduction!A350</f>
        <v>SCREEN PERIPHERIQUE</v>
      </c>
      <c r="C17" s="515"/>
      <c r="D17" s="70"/>
      <c r="E17" s="522" t="e">
        <f>'Nomenclature HARMONY'!#REF!+'Nomenclature HARMONY'!#REF!</f>
        <v>#REF!</v>
      </c>
      <c r="F17" s="517"/>
      <c r="G17" s="517" t="e">
        <f>'Nomenclature HARMONY'!#REF!+'Nomenclature HARMONY'!#REF!</f>
        <v>#REF!</v>
      </c>
      <c r="H17" s="516"/>
      <c r="I17" s="522" t="e">
        <f>'Nomenclature HARMONY'!#REF!+'Nomenclature HARMONY'!#REF!</f>
        <v>#REF!</v>
      </c>
      <c r="J17" s="517"/>
      <c r="K17" s="517" t="e">
        <f>'Nomenclature HARMONY'!#REF!+'Nomenclature HARMONY'!#REF!</f>
        <v>#REF!</v>
      </c>
      <c r="L17" s="516"/>
      <c r="M17" s="522" t="e">
        <f>'Nomenclature HARMONY'!#REF!+'Nomenclature HARMONY'!#REF!</f>
        <v>#REF!</v>
      </c>
      <c r="N17" s="517"/>
      <c r="O17" s="523" t="e">
        <f>'Nomenclature HARMONY'!#REF!+'Nomenclature HARMONY'!#REF!</f>
        <v>#REF!</v>
      </c>
      <c r="P17" s="481"/>
    </row>
    <row r="18" spans="1:16">
      <c r="A18" s="478"/>
      <c r="B18" s="492" t="str">
        <f>Traduction!A383</f>
        <v>CLAUSTRA FIXE</v>
      </c>
      <c r="C18" s="515"/>
      <c r="D18" s="70"/>
      <c r="E18" s="522" t="e">
        <f>'Nomenclature HARMONY'!#REF!</f>
        <v>#REF!</v>
      </c>
      <c r="F18" s="517"/>
      <c r="G18" s="517" t="e">
        <f>'Nomenclature HARMONY'!#REF!</f>
        <v>#REF!</v>
      </c>
      <c r="H18" s="516"/>
      <c r="I18" s="522" t="e">
        <f>'Nomenclature HARMONY'!#REF!</f>
        <v>#REF!</v>
      </c>
      <c r="J18" s="517"/>
      <c r="K18" s="517" t="e">
        <f>'Nomenclature HARMONY'!#REF!</f>
        <v>#REF!</v>
      </c>
      <c r="L18" s="516"/>
      <c r="M18" s="522" t="e">
        <f>'Nomenclature HARMONY'!#REF!</f>
        <v>#REF!</v>
      </c>
      <c r="N18" s="517"/>
      <c r="O18" s="523" t="e">
        <f>'Nomenclature HARMONY'!#REF!</f>
        <v>#REF!</v>
      </c>
      <c r="P18" s="481"/>
    </row>
    <row r="19" spans="1:16">
      <c r="A19" s="478"/>
      <c r="B19" s="492" t="str">
        <f>Traduction!A384</f>
        <v>CLAUSTRA COULISSANT</v>
      </c>
      <c r="C19" s="515"/>
      <c r="D19" s="70"/>
      <c r="E19" s="522" t="e">
        <f>'Nomenclature HARMONY'!#REF!+'Nomenclature HARMONY'!#REF!</f>
        <v>#REF!</v>
      </c>
      <c r="F19" s="517"/>
      <c r="G19" s="517" t="e">
        <f>'Nomenclature HARMONY'!#REF!+'Nomenclature HARMONY'!#REF!</f>
        <v>#REF!</v>
      </c>
      <c r="H19" s="516"/>
      <c r="I19" s="522" t="e">
        <f>'Nomenclature HARMONY'!#REF!+'Nomenclature HARMONY'!#REF!</f>
        <v>#REF!</v>
      </c>
      <c r="J19" s="517"/>
      <c r="K19" s="517" t="e">
        <f>'Nomenclature HARMONY'!#REF!+'Nomenclature HARMONY'!#REF!</f>
        <v>#REF!</v>
      </c>
      <c r="L19" s="516"/>
      <c r="M19" s="522" t="e">
        <f>'Nomenclature HARMONY'!#REF!+'Nomenclature HARMONY'!#REF!</f>
        <v>#REF!</v>
      </c>
      <c r="N19" s="517"/>
      <c r="O19" s="523" t="e">
        <f>'Nomenclature HARMONY'!#REF!+'Nomenclature HARMONY'!#REF!</f>
        <v>#REF!</v>
      </c>
      <c r="P19" s="481"/>
    </row>
    <row r="20" spans="1:16">
      <c r="A20" s="478"/>
      <c r="B20" s="492" t="str">
        <f>Traduction!A369</f>
        <v>PILOTAGE PAR SMARTPHONE</v>
      </c>
      <c r="C20" s="515"/>
      <c r="D20" s="70"/>
      <c r="E20" s="522" t="e">
        <f>'Nomenclature HARMONY'!#REF!</f>
        <v>#REF!</v>
      </c>
      <c r="F20" s="517"/>
      <c r="G20" s="517" t="e">
        <f>'Nomenclature HARMONY'!#REF!</f>
        <v>#REF!</v>
      </c>
      <c r="H20" s="516"/>
      <c r="I20" s="522" t="e">
        <f>'Nomenclature HARMONY'!#REF!</f>
        <v>#REF!</v>
      </c>
      <c r="J20" s="517"/>
      <c r="K20" s="517" t="e">
        <f>'Nomenclature HARMONY'!#REF!</f>
        <v>#REF!</v>
      </c>
      <c r="L20" s="516"/>
      <c r="M20" s="522" t="e">
        <f>'Nomenclature HARMONY'!#REF!</f>
        <v>#REF!</v>
      </c>
      <c r="N20" s="517"/>
      <c r="O20" s="523" t="e">
        <f>'Nomenclature HARMONY'!#REF!</f>
        <v>#REF!</v>
      </c>
      <c r="P20" s="481"/>
    </row>
    <row r="21" spans="1:16">
      <c r="A21" s="478"/>
      <c r="B21" s="492" t="str">
        <f>Traduction!A351</f>
        <v>SOUS-FACE</v>
      </c>
      <c r="C21" s="515"/>
      <c r="D21" s="70"/>
      <c r="E21" s="522" t="e">
        <f>2*'Nomenclature HARMONY'!#REF!+2*'Nomenclature HARMONY'!#REF!</f>
        <v>#REF!</v>
      </c>
      <c r="F21" s="517"/>
      <c r="G21" s="517" t="e">
        <f>4*'Nomenclature HARMONY'!#REF!+4*'Nomenclature HARMONY'!#REF!</f>
        <v>#REF!</v>
      </c>
      <c r="H21" s="516"/>
      <c r="I21" s="522" t="e">
        <f>3*'Nomenclature HARMONY'!#REF!+3*'Nomenclature HARMONY'!#REF!</f>
        <v>#REF!</v>
      </c>
      <c r="J21" s="517"/>
      <c r="K21" s="517" t="e">
        <f>4*'Nomenclature HARMONY'!#REF!+4*'Nomenclature HARMONY'!#REF!</f>
        <v>#REF!</v>
      </c>
      <c r="L21" s="516"/>
      <c r="M21" s="522" t="e">
        <f>6*'Nomenclature HARMONY'!#REF!+6*'Nomenclature HARMONY'!#REF!</f>
        <v>#REF!</v>
      </c>
      <c r="N21" s="517"/>
      <c r="O21" s="523" t="e">
        <f>8*'Nomenclature HARMONY'!#REF!+8*'Nomenclature HARMONY'!#REF!</f>
        <v>#REF!</v>
      </c>
      <c r="P21" s="481"/>
    </row>
    <row r="22" spans="1:16" ht="15.75" thickBot="1">
      <c r="A22" s="478"/>
      <c r="B22" s="497" t="str">
        <f>Traduction!A385</f>
        <v xml:space="preserve">KIT JUMELAGE </v>
      </c>
      <c r="C22" s="540"/>
      <c r="D22" s="499"/>
      <c r="E22" s="541" t="e">
        <f>'Nomenclature HARMONY'!#REF!</f>
        <v>#REF!</v>
      </c>
      <c r="F22" s="542"/>
      <c r="G22" s="542" t="e">
        <f>'Nomenclature HARMONY'!#REF!</f>
        <v>#REF!</v>
      </c>
      <c r="H22" s="543"/>
      <c r="I22" s="541" t="e">
        <f>'Nomenclature HARMONY'!#REF!</f>
        <v>#REF!</v>
      </c>
      <c r="J22" s="542"/>
      <c r="K22" s="542" t="e">
        <f>'Nomenclature HARMONY'!#REF!</f>
        <v>#REF!</v>
      </c>
      <c r="L22" s="543"/>
      <c r="M22" s="541" t="e">
        <f>'Nomenclature HARMONY'!#REF!</f>
        <v>#REF!</v>
      </c>
      <c r="N22" s="542"/>
      <c r="O22" s="544" t="e">
        <f>'Nomenclature HARMONY'!#REF!</f>
        <v>#REF!</v>
      </c>
      <c r="P22" s="481"/>
    </row>
    <row r="23" spans="1:16" ht="7.5" customHeight="1" thickBot="1">
      <c r="A23" s="478"/>
      <c r="B23" s="479"/>
      <c r="C23" s="479"/>
      <c r="D23" s="479"/>
      <c r="E23" s="480"/>
      <c r="F23" s="480"/>
      <c r="G23" s="480"/>
      <c r="H23" s="480"/>
      <c r="I23" s="480"/>
      <c r="J23" s="480"/>
      <c r="K23" s="480"/>
      <c r="L23" s="480"/>
      <c r="M23" s="480"/>
      <c r="N23" s="480"/>
      <c r="O23" s="480"/>
      <c r="P23" s="481"/>
    </row>
    <row r="24" spans="1:16" ht="15.75" thickBot="1">
      <c r="A24" s="478"/>
      <c r="B24" s="525" t="str">
        <f>Traduction!A353</f>
        <v>TARIF LIVRAISON (France continentale uniquement)</v>
      </c>
      <c r="C24" s="526"/>
      <c r="D24" s="527"/>
      <c r="E24" s="528" t="e">
        <f>'Nomenclature HARMONY'!#REF!</f>
        <v>#REF!</v>
      </c>
      <c r="F24" s="529"/>
      <c r="G24" s="528" t="e">
        <f>'Nomenclature HARMONY'!#REF!</f>
        <v>#REF!</v>
      </c>
      <c r="H24" s="530"/>
      <c r="I24" s="530" t="e">
        <f>'Nomenclature HARMONY'!#REF!</f>
        <v>#REF!</v>
      </c>
      <c r="J24" s="529"/>
      <c r="K24" s="528" t="e">
        <f>'Nomenclature HARMONY'!#REF!</f>
        <v>#REF!</v>
      </c>
      <c r="L24" s="530"/>
      <c r="M24" s="530" t="e">
        <f>'Nomenclature HARMONY'!#REF!</f>
        <v>#REF!</v>
      </c>
      <c r="N24" s="529"/>
      <c r="O24" s="531" t="e">
        <f>'Nomenclature HARMONY'!#REF!</f>
        <v>#REF!</v>
      </c>
      <c r="P24" s="481"/>
    </row>
    <row r="25" spans="1:16" ht="7.5" customHeight="1" thickBot="1">
      <c r="A25" s="478"/>
      <c r="B25" s="479"/>
      <c r="C25" s="479"/>
      <c r="D25" s="479"/>
      <c r="E25" s="532"/>
      <c r="F25" s="532"/>
      <c r="G25" s="532"/>
      <c r="H25" s="532"/>
      <c r="I25" s="532"/>
      <c r="J25" s="532"/>
      <c r="K25" s="532"/>
      <c r="L25" s="532"/>
      <c r="M25" s="532"/>
      <c r="N25" s="532"/>
      <c r="O25" s="532"/>
      <c r="P25" s="481"/>
    </row>
    <row r="26" spans="1:16">
      <c r="A26" s="478"/>
      <c r="B26" s="706" t="str">
        <f>Traduction!A356</f>
        <v>Ce document est purement informatif et ne peut être tenu pour une base contractuelle</v>
      </c>
      <c r="C26" s="707"/>
      <c r="D26" s="707"/>
      <c r="E26" s="707"/>
      <c r="F26" s="707"/>
      <c r="G26" s="707"/>
      <c r="H26" s="707"/>
      <c r="I26" s="707"/>
      <c r="J26" s="707"/>
      <c r="K26" s="707"/>
      <c r="L26" s="707"/>
      <c r="M26" s="707"/>
      <c r="N26" s="707"/>
      <c r="O26" s="708"/>
      <c r="P26" s="481"/>
    </row>
    <row r="27" spans="1:16">
      <c r="A27" s="478"/>
      <c r="B27" s="709" t="str">
        <f>Traduction!A357</f>
        <v>Pour plus de précision, merci de remplir l'onglet "Définition Pergosolar"</v>
      </c>
      <c r="C27" s="710"/>
      <c r="D27" s="710"/>
      <c r="E27" s="710"/>
      <c r="F27" s="710"/>
      <c r="G27" s="710"/>
      <c r="H27" s="710"/>
      <c r="I27" s="710"/>
      <c r="J27" s="710"/>
      <c r="K27" s="710"/>
      <c r="L27" s="710"/>
      <c r="M27" s="710"/>
      <c r="N27" s="710"/>
      <c r="O27" s="711"/>
      <c r="P27" s="481"/>
    </row>
    <row r="28" spans="1:16">
      <c r="A28" s="478"/>
      <c r="B28" s="709" t="str">
        <f>Traduction!A358</f>
        <v xml:space="preserve">Pour tout renseignement, contactez notre service commercial : </v>
      </c>
      <c r="C28" s="710"/>
      <c r="D28" s="710"/>
      <c r="E28" s="710"/>
      <c r="F28" s="710"/>
      <c r="G28" s="710"/>
      <c r="H28" s="710"/>
      <c r="I28" s="710"/>
      <c r="J28" s="710"/>
      <c r="K28" s="710"/>
      <c r="L28" s="710"/>
      <c r="M28" s="710"/>
      <c r="N28" s="710"/>
      <c r="O28" s="711"/>
      <c r="P28" s="481"/>
    </row>
    <row r="29" spans="1:16" ht="15.75" thickBot="1">
      <c r="A29" s="478"/>
      <c r="B29" s="712" t="str">
        <f>Traduction!A359</f>
        <v xml:space="preserve">commercial.france@irfts.com </v>
      </c>
      <c r="C29" s="713"/>
      <c r="D29" s="713"/>
      <c r="E29" s="713"/>
      <c r="F29" s="713"/>
      <c r="G29" s="713"/>
      <c r="H29" s="713"/>
      <c r="I29" s="713"/>
      <c r="J29" s="713"/>
      <c r="K29" s="713"/>
      <c r="L29" s="713"/>
      <c r="M29" s="713"/>
      <c r="N29" s="713"/>
      <c r="O29" s="714"/>
      <c r="P29" s="481"/>
    </row>
    <row r="30" spans="1:16">
      <c r="A30" s="478"/>
      <c r="B30" s="365"/>
      <c r="C30" s="538"/>
      <c r="D30" s="538"/>
      <c r="E30" s="539"/>
      <c r="F30" s="539"/>
      <c r="G30" s="539"/>
      <c r="H30" s="539"/>
      <c r="I30" s="539"/>
      <c r="J30" s="539"/>
      <c r="K30" s="539"/>
      <c r="L30" s="539"/>
      <c r="M30" s="539"/>
      <c r="N30" s="539"/>
      <c r="O30" s="150"/>
      <c r="P30" s="481"/>
    </row>
    <row r="31" spans="1:16">
      <c r="A31" s="478"/>
      <c r="B31" s="715" t="str">
        <f>Traduction!A360</f>
        <v>IMPLANTATION ET ORIENTATION DES FORMATS</v>
      </c>
      <c r="C31" s="716"/>
      <c r="O31" s="150"/>
      <c r="P31" s="481"/>
    </row>
    <row r="32" spans="1:16">
      <c r="A32" s="478"/>
      <c r="B32" s="715"/>
      <c r="C32" s="716"/>
      <c r="O32" s="150"/>
      <c r="P32" s="481"/>
    </row>
    <row r="33" spans="1:16">
      <c r="A33" s="478"/>
      <c r="B33" s="715"/>
      <c r="C33" s="716"/>
      <c r="O33" s="150"/>
      <c r="P33" s="481"/>
    </row>
    <row r="34" spans="1:16" ht="15.75" thickBot="1">
      <c r="A34" s="478"/>
      <c r="B34" s="509"/>
      <c r="C34" s="228"/>
      <c r="D34" s="228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4"/>
      <c r="P34" s="481"/>
    </row>
    <row r="35" spans="1:16" ht="19.5" customHeight="1" thickBot="1">
      <c r="A35" s="533"/>
      <c r="B35" s="534"/>
      <c r="C35" s="534"/>
      <c r="D35" s="534"/>
      <c r="E35" s="535"/>
      <c r="F35" s="535"/>
      <c r="G35" s="535"/>
      <c r="H35" s="535"/>
      <c r="I35" s="535"/>
      <c r="J35" s="535"/>
      <c r="K35" s="535"/>
      <c r="L35" s="535"/>
      <c r="M35" s="535"/>
      <c r="N35" s="535"/>
      <c r="O35" s="535"/>
      <c r="P35" s="536"/>
    </row>
    <row r="37" spans="1:16">
      <c r="E37" s="524"/>
      <c r="F37" s="524"/>
      <c r="G37" s="524"/>
      <c r="H37" s="524"/>
      <c r="I37" s="524"/>
      <c r="J37" s="524"/>
      <c r="K37" s="524"/>
      <c r="L37" s="524"/>
      <c r="M37" s="524"/>
      <c r="N37" s="524"/>
      <c r="O37" s="524"/>
    </row>
  </sheetData>
  <sheetProtection algorithmName="SHA-512" hashValue="HMiEPnrvqv/PWUUb9nX3SpxHmBm9ErXfEGK5fcKY0mweDrQ+UKjdLfat8VXctmc39/LwQvyjV7AagNpBOz7elw==" saltValue="5CZ8t/rlFXEMdgisO/5zmw==" spinCount="100000" sheet="1" objects="1" scenarios="1"/>
  <mergeCells count="13">
    <mergeCell ref="E2:I2"/>
    <mergeCell ref="B1:O1"/>
    <mergeCell ref="E5:E6"/>
    <mergeCell ref="G5:G6"/>
    <mergeCell ref="I5:I6"/>
    <mergeCell ref="K5:K6"/>
    <mergeCell ref="M5:M6"/>
    <mergeCell ref="O5:O6"/>
    <mergeCell ref="B26:O26"/>
    <mergeCell ref="B27:O27"/>
    <mergeCell ref="B28:O28"/>
    <mergeCell ref="B29:O29"/>
    <mergeCell ref="B31:C33"/>
  </mergeCells>
  <pageMargins left="0.25" right="0.25" top="0.75" bottom="0.75" header="0.3" footer="0.3"/>
  <pageSetup paperSize="9" scale="86" orientation="landscape" r:id="rId1"/>
  <headerFooter>
    <oddHeader>&amp;C&amp;D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B82E99-7546-4C7F-8BBD-5A39BFDA0038}">
            <xm:f>Instructions!$J$7&lt;&gt;"Français"</xm:f>
            <x14:dxf>
              <fill>
                <patternFill>
                  <bgColor theme="1"/>
                </patternFill>
              </fill>
            </x14:dxf>
          </x14:cfRule>
          <xm:sqref>B24:O24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F505"/>
  <sheetViews>
    <sheetView showGridLines="0" zoomScale="90" zoomScaleNormal="90" workbookViewId="0">
      <pane xSplit="1" ySplit="8" topLeftCell="B489" activePane="bottomRight" state="frozen"/>
      <selection activeCell="J118" sqref="J118:K118"/>
      <selection pane="topRight" activeCell="J118" sqref="J118:K118"/>
      <selection pane="bottomLeft" activeCell="J118" sqref="J118:K118"/>
      <selection pane="bottomRight" activeCell="A496" sqref="A496:XFD498"/>
    </sheetView>
  </sheetViews>
  <sheetFormatPr baseColWidth="10" defaultRowHeight="15"/>
  <cols>
    <col min="1" max="1" width="56.42578125" customWidth="1"/>
    <col min="2" max="2" width="72.5703125" customWidth="1"/>
    <col min="3" max="3" width="76.42578125" bestFit="1" customWidth="1"/>
    <col min="4" max="4" width="76.42578125" style="407" customWidth="1"/>
    <col min="5" max="5" width="76.42578125" customWidth="1"/>
    <col min="6" max="6" width="99.140625" bestFit="1" customWidth="1"/>
  </cols>
  <sheetData>
    <row r="1" spans="1:6" ht="16.5" thickTop="1" thickBot="1">
      <c r="A1" s="33" t="s">
        <v>123</v>
      </c>
      <c r="B1" s="34">
        <f>IF(Instructions!J7=B8,1,IF(Instructions!J7=C8,2,IF(Instructions!J7=D8,3,IF(Instructions!J7=E8,4,0))))</f>
        <v>1</v>
      </c>
    </row>
    <row r="2" spans="1:6" ht="16.5" thickTop="1" thickBot="1"/>
    <row r="3" spans="1:6" ht="15.75" thickTop="1">
      <c r="A3" s="35" t="s">
        <v>11</v>
      </c>
      <c r="B3" s="351" t="s">
        <v>12</v>
      </c>
    </row>
    <row r="4" spans="1:6">
      <c r="A4" s="36"/>
      <c r="B4" s="352" t="s">
        <v>13</v>
      </c>
    </row>
    <row r="5" spans="1:6">
      <c r="A5" s="36"/>
      <c r="B5" s="352" t="s">
        <v>716</v>
      </c>
    </row>
    <row r="6" spans="1:6" ht="15.75" thickBot="1">
      <c r="A6" s="37"/>
      <c r="B6" s="353" t="s">
        <v>14</v>
      </c>
    </row>
    <row r="7" spans="1:6" ht="15.75" thickTop="1"/>
    <row r="8" spans="1:6">
      <c r="A8" s="349" t="s">
        <v>15</v>
      </c>
      <c r="B8" s="349" t="s">
        <v>12</v>
      </c>
      <c r="C8" s="551" t="s">
        <v>13</v>
      </c>
      <c r="D8" s="551" t="s">
        <v>716</v>
      </c>
      <c r="E8" s="419" t="s">
        <v>14</v>
      </c>
      <c r="F8" s="350" t="s">
        <v>14</v>
      </c>
    </row>
    <row r="9" spans="1:6">
      <c r="A9" s="21" t="str">
        <f t="shared" ref="A9:A40" si="0">INDEX(B9:F9,$B$1)</f>
        <v>Définition tarifaire des Pergolas PERGOSOLAR</v>
      </c>
      <c r="B9" s="23" t="s">
        <v>808</v>
      </c>
      <c r="C9" s="410" t="s">
        <v>823</v>
      </c>
      <c r="D9" s="410" t="s">
        <v>872</v>
      </c>
      <c r="E9" s="410" t="s">
        <v>402</v>
      </c>
      <c r="F9" s="21" t="s">
        <v>402</v>
      </c>
    </row>
    <row r="10" spans="1:6">
      <c r="A10" s="346" t="str">
        <f t="shared" si="0"/>
        <v>Ex : ombrière 4x2, 2 pieds (appui façade)</v>
      </c>
      <c r="B10" s="362" t="s">
        <v>124</v>
      </c>
      <c r="C10" s="417" t="s">
        <v>16</v>
      </c>
      <c r="D10" s="417" t="s">
        <v>1096</v>
      </c>
      <c r="E10" s="417" t="s">
        <v>258</v>
      </c>
      <c r="F10" s="346" t="s">
        <v>258</v>
      </c>
    </row>
    <row r="11" spans="1:6">
      <c r="A11" s="346" t="str">
        <f t="shared" si="0"/>
        <v>Les indications tarifaires ci-dessous n'incluent ni les modules, ni les fixations au sol et au mur</v>
      </c>
      <c r="B11" s="346" t="s">
        <v>125</v>
      </c>
      <c r="C11" s="417" t="s">
        <v>17</v>
      </c>
      <c r="D11" s="417" t="s">
        <v>1097</v>
      </c>
      <c r="E11" s="417" t="s">
        <v>259</v>
      </c>
      <c r="F11" s="346" t="s">
        <v>259</v>
      </c>
    </row>
    <row r="12" spans="1:6">
      <c r="A12" s="346" t="str">
        <f t="shared" si="0"/>
        <v>Ex : ombrière 4x2, 4 pieds</v>
      </c>
      <c r="B12" s="362" t="s">
        <v>126</v>
      </c>
      <c r="C12" s="417" t="s">
        <v>18</v>
      </c>
      <c r="D12" s="417" t="s">
        <v>1098</v>
      </c>
      <c r="E12" s="417" t="s">
        <v>260</v>
      </c>
      <c r="F12" s="346" t="s">
        <v>260</v>
      </c>
    </row>
    <row r="13" spans="1:6">
      <c r="A13" s="21" t="str">
        <f t="shared" si="0"/>
        <v>Définir la quantité de commande</v>
      </c>
      <c r="B13" s="22" t="s">
        <v>1</v>
      </c>
      <c r="C13" s="411" t="s">
        <v>824</v>
      </c>
      <c r="D13" s="411" t="s">
        <v>873</v>
      </c>
      <c r="E13" s="410" t="s">
        <v>255</v>
      </c>
      <c r="F13" s="21" t="s">
        <v>255</v>
      </c>
    </row>
    <row r="14" spans="1:6">
      <c r="A14" s="21" t="str">
        <f t="shared" si="0"/>
        <v>Selectionner votre format de toiture</v>
      </c>
      <c r="B14" s="22" t="s">
        <v>9</v>
      </c>
      <c r="C14" s="411" t="s">
        <v>825</v>
      </c>
      <c r="D14" s="411" t="s">
        <v>874</v>
      </c>
      <c r="E14" s="410" t="s">
        <v>261</v>
      </c>
      <c r="F14" s="21" t="s">
        <v>261</v>
      </c>
    </row>
    <row r="15" spans="1:6">
      <c r="A15" s="21" t="str">
        <f t="shared" si="0"/>
        <v>Nombre de paires de pieds par Pergola</v>
      </c>
      <c r="B15" s="22" t="s">
        <v>1529</v>
      </c>
      <c r="C15" s="411" t="s">
        <v>1531</v>
      </c>
      <c r="D15" s="411" t="s">
        <v>875</v>
      </c>
      <c r="E15" s="410" t="s">
        <v>262</v>
      </c>
      <c r="F15" s="21" t="s">
        <v>262</v>
      </c>
    </row>
    <row r="16" spans="1:6">
      <c r="A16" s="21" t="str">
        <f t="shared" si="0"/>
        <v>Nombre de paires d'équerres de fixation par Pergola</v>
      </c>
      <c r="B16" s="22" t="s">
        <v>1530</v>
      </c>
      <c r="C16" s="411" t="s">
        <v>1532</v>
      </c>
      <c r="D16" s="411" t="s">
        <v>876</v>
      </c>
      <c r="E16" s="410"/>
      <c r="F16" s="21"/>
    </row>
    <row r="17" spans="1:6">
      <c r="A17" s="21" t="str">
        <f t="shared" si="0"/>
        <v>Avec finition latérale module</v>
      </c>
      <c r="B17" s="22" t="s">
        <v>127</v>
      </c>
      <c r="C17" s="411" t="s">
        <v>826</v>
      </c>
      <c r="D17" s="411" t="s">
        <v>877</v>
      </c>
      <c r="E17" s="410"/>
      <c r="F17" s="21"/>
    </row>
    <row r="18" spans="1:6">
      <c r="A18" s="21" t="str">
        <f t="shared" si="0"/>
        <v>Définir la puissance du module</v>
      </c>
      <c r="B18" s="22" t="s">
        <v>674</v>
      </c>
      <c r="C18" s="411" t="s">
        <v>19</v>
      </c>
      <c r="D18" s="411" t="s">
        <v>878</v>
      </c>
      <c r="E18" s="410" t="s">
        <v>256</v>
      </c>
      <c r="F18" s="21" t="s">
        <v>256</v>
      </c>
    </row>
    <row r="19" spans="1:6">
      <c r="A19" s="21" t="str">
        <f t="shared" si="0"/>
        <v>Nombre de modules</v>
      </c>
      <c r="B19" s="22" t="s">
        <v>489</v>
      </c>
      <c r="C19" s="411" t="s">
        <v>827</v>
      </c>
      <c r="D19" s="411" t="s">
        <v>879</v>
      </c>
      <c r="E19" s="410"/>
      <c r="F19" s="21"/>
    </row>
    <row r="20" spans="1:6">
      <c r="A20" s="24" t="str">
        <f t="shared" si="0"/>
        <v>Puissance par pergola</v>
      </c>
      <c r="B20" s="22" t="s">
        <v>1000</v>
      </c>
      <c r="C20" s="411" t="s">
        <v>1001</v>
      </c>
      <c r="D20" s="411" t="s">
        <v>1002</v>
      </c>
      <c r="E20" s="410" t="s">
        <v>257</v>
      </c>
      <c r="F20" s="21" t="s">
        <v>257</v>
      </c>
    </row>
    <row r="21" spans="1:6">
      <c r="A21" s="347" t="str">
        <f t="shared" si="0"/>
        <v>Pergosolar 1</v>
      </c>
      <c r="B21" s="348" t="s">
        <v>463</v>
      </c>
      <c r="C21" s="552" t="s">
        <v>20</v>
      </c>
      <c r="D21" s="552" t="s">
        <v>1099</v>
      </c>
      <c r="E21" s="418" t="s">
        <v>249</v>
      </c>
      <c r="F21" s="348" t="s">
        <v>249</v>
      </c>
    </row>
    <row r="22" spans="1:6">
      <c r="A22" s="344" t="str">
        <f t="shared" si="0"/>
        <v>Pergosolar 2</v>
      </c>
      <c r="B22" s="348" t="s">
        <v>464</v>
      </c>
      <c r="C22" s="552" t="s">
        <v>21</v>
      </c>
      <c r="D22" s="552" t="s">
        <v>1100</v>
      </c>
      <c r="E22" s="418" t="s">
        <v>250</v>
      </c>
      <c r="F22" s="348" t="s">
        <v>250</v>
      </c>
    </row>
    <row r="23" spans="1:6">
      <c r="A23" s="344" t="str">
        <f t="shared" si="0"/>
        <v>Pergosolar 3</v>
      </c>
      <c r="B23" s="348" t="s">
        <v>465</v>
      </c>
      <c r="C23" s="552" t="s">
        <v>22</v>
      </c>
      <c r="D23" s="552" t="s">
        <v>1101</v>
      </c>
      <c r="E23" s="418" t="s">
        <v>251</v>
      </c>
      <c r="F23" s="348" t="s">
        <v>251</v>
      </c>
    </row>
    <row r="24" spans="1:6">
      <c r="A24" s="344" t="str">
        <f t="shared" si="0"/>
        <v>Pergosolar 4</v>
      </c>
      <c r="B24" s="348" t="s">
        <v>466</v>
      </c>
      <c r="C24" s="552" t="s">
        <v>23</v>
      </c>
      <c r="D24" s="552" t="s">
        <v>1102</v>
      </c>
      <c r="E24" s="418" t="s">
        <v>252</v>
      </c>
      <c r="F24" s="348" t="s">
        <v>252</v>
      </c>
    </row>
    <row r="25" spans="1:6">
      <c r="A25" s="344" t="str">
        <f t="shared" si="0"/>
        <v>Pergosolar 5</v>
      </c>
      <c r="B25" s="348" t="s">
        <v>467</v>
      </c>
      <c r="C25" s="552" t="s">
        <v>24</v>
      </c>
      <c r="D25" s="552" t="s">
        <v>1103</v>
      </c>
      <c r="E25" s="418" t="s">
        <v>253</v>
      </c>
      <c r="F25" s="348" t="s">
        <v>253</v>
      </c>
    </row>
    <row r="26" spans="1:6">
      <c r="A26" s="344" t="str">
        <f t="shared" si="0"/>
        <v>Pergosolar 6</v>
      </c>
      <c r="B26" s="348" t="s">
        <v>468</v>
      </c>
      <c r="C26" s="552" t="s">
        <v>25</v>
      </c>
      <c r="D26" s="552" t="s">
        <v>1104</v>
      </c>
      <c r="E26" s="418" t="s">
        <v>254</v>
      </c>
      <c r="F26" s="348" t="s">
        <v>254</v>
      </c>
    </row>
    <row r="27" spans="1:6">
      <c r="A27" s="20" t="str">
        <f t="shared" si="0"/>
        <v>No</v>
      </c>
      <c r="B27" s="20" t="s">
        <v>26</v>
      </c>
      <c r="C27" s="553" t="s">
        <v>26</v>
      </c>
      <c r="D27" s="553" t="s">
        <v>26</v>
      </c>
      <c r="E27" s="409" t="s">
        <v>26</v>
      </c>
      <c r="F27" s="20" t="s">
        <v>26</v>
      </c>
    </row>
    <row r="28" spans="1:6">
      <c r="A28" s="20" t="str">
        <f t="shared" si="0"/>
        <v>Yes</v>
      </c>
      <c r="B28" s="20" t="s">
        <v>37</v>
      </c>
      <c r="C28" s="553" t="s">
        <v>36</v>
      </c>
      <c r="D28" s="553" t="s">
        <v>36</v>
      </c>
      <c r="E28" s="409" t="s">
        <v>36</v>
      </c>
      <c r="F28" s="20" t="s">
        <v>36</v>
      </c>
    </row>
    <row r="29" spans="1:6">
      <c r="A29" s="20" t="str">
        <f t="shared" si="0"/>
        <v>Nomenclature IRFTS</v>
      </c>
      <c r="B29" s="28" t="s">
        <v>683</v>
      </c>
      <c r="C29" s="553" t="s">
        <v>946</v>
      </c>
      <c r="D29" s="553" t="s">
        <v>880</v>
      </c>
      <c r="E29" s="409" t="s">
        <v>263</v>
      </c>
      <c r="F29" s="20" t="s">
        <v>263</v>
      </c>
    </row>
    <row r="30" spans="1:6">
      <c r="A30" s="20" t="str">
        <f t="shared" si="0"/>
        <v>Nomenclature XXX</v>
      </c>
      <c r="B30" s="28" t="s">
        <v>684</v>
      </c>
      <c r="C30" s="553" t="s">
        <v>947</v>
      </c>
      <c r="D30" s="553" t="s">
        <v>881</v>
      </c>
      <c r="E30" s="412"/>
      <c r="F30" s="26"/>
    </row>
    <row r="31" spans="1:6">
      <c r="A31" s="25" t="str">
        <f t="shared" si="0"/>
        <v>Référence</v>
      </c>
      <c r="B31" s="21" t="s">
        <v>5</v>
      </c>
      <c r="C31" s="410" t="s">
        <v>27</v>
      </c>
      <c r="D31" s="410" t="s">
        <v>794</v>
      </c>
      <c r="E31" s="412" t="s">
        <v>27</v>
      </c>
      <c r="F31" s="26" t="s">
        <v>27</v>
      </c>
    </row>
    <row r="32" spans="1:6">
      <c r="A32" s="25" t="str">
        <f t="shared" si="0"/>
        <v>Référence distributeur</v>
      </c>
      <c r="B32" s="21" t="s">
        <v>679</v>
      </c>
      <c r="C32" s="410" t="s">
        <v>828</v>
      </c>
      <c r="D32" s="410" t="s">
        <v>882</v>
      </c>
      <c r="E32" s="412"/>
      <c r="F32" s="26"/>
    </row>
    <row r="33" spans="1:6">
      <c r="A33" s="25" t="str">
        <f t="shared" si="0"/>
        <v>Description produit</v>
      </c>
      <c r="B33" s="21" t="s">
        <v>1446</v>
      </c>
      <c r="C33" s="410" t="s">
        <v>829</v>
      </c>
      <c r="D33" s="410" t="s">
        <v>883</v>
      </c>
      <c r="E33" s="412"/>
      <c r="F33" s="26"/>
    </row>
    <row r="34" spans="1:6">
      <c r="A34" s="25">
        <f t="shared" si="0"/>
        <v>0</v>
      </c>
      <c r="B34" s="21"/>
      <c r="C34" s="410">
        <v>0</v>
      </c>
      <c r="D34" s="410">
        <v>0</v>
      </c>
      <c r="E34" s="412"/>
      <c r="F34" s="26"/>
    </row>
    <row r="35" spans="1:6">
      <c r="A35" s="25" t="str">
        <f t="shared" si="0"/>
        <v>Dimensions colis</v>
      </c>
      <c r="B35" s="21" t="s">
        <v>128</v>
      </c>
      <c r="C35" s="410" t="s">
        <v>28</v>
      </c>
      <c r="D35" s="410" t="s">
        <v>884</v>
      </c>
      <c r="E35" s="412" t="s">
        <v>264</v>
      </c>
      <c r="F35" s="26" t="s">
        <v>264</v>
      </c>
    </row>
    <row r="36" spans="1:6">
      <c r="A36" s="25" t="str">
        <f t="shared" si="0"/>
        <v>Poids (Kg)</v>
      </c>
      <c r="B36" s="21" t="s">
        <v>60</v>
      </c>
      <c r="C36" s="410" t="s">
        <v>63</v>
      </c>
      <c r="D36" s="410" t="s">
        <v>795</v>
      </c>
      <c r="E36" s="412" t="s">
        <v>265</v>
      </c>
      <c r="F36" s="26" t="s">
        <v>265</v>
      </c>
    </row>
    <row r="37" spans="1:6">
      <c r="A37" s="25" t="str">
        <f t="shared" si="0"/>
        <v>Désignation</v>
      </c>
      <c r="B37" s="21" t="s">
        <v>4</v>
      </c>
      <c r="C37" s="410" t="s">
        <v>29</v>
      </c>
      <c r="D37" s="410" t="s">
        <v>883</v>
      </c>
      <c r="E37" s="412" t="s">
        <v>266</v>
      </c>
      <c r="F37" s="26" t="s">
        <v>266</v>
      </c>
    </row>
    <row r="38" spans="1:6">
      <c r="A38" s="25" t="str">
        <f t="shared" si="0"/>
        <v>Qté Totale</v>
      </c>
      <c r="B38" s="21" t="s">
        <v>1736</v>
      </c>
      <c r="C38" s="410" t="s">
        <v>121</v>
      </c>
      <c r="D38" s="410" t="s">
        <v>796</v>
      </c>
      <c r="E38" s="412" t="s">
        <v>268</v>
      </c>
      <c r="F38" s="26" t="s">
        <v>268</v>
      </c>
    </row>
    <row r="39" spans="1:6">
      <c r="A39" s="25" t="str">
        <f t="shared" si="0"/>
        <v>Qté /Pergola</v>
      </c>
      <c r="B39" s="21" t="s">
        <v>809</v>
      </c>
      <c r="C39" s="410" t="s">
        <v>830</v>
      </c>
      <c r="D39" s="410" t="s">
        <v>885</v>
      </c>
      <c r="E39" s="412"/>
      <c r="F39" s="26"/>
    </row>
    <row r="40" spans="1:6">
      <c r="A40" s="25" t="str">
        <f t="shared" si="0"/>
        <v>UDV</v>
      </c>
      <c r="B40" s="21" t="s">
        <v>56</v>
      </c>
      <c r="C40" s="410" t="s">
        <v>122</v>
      </c>
      <c r="D40" s="410" t="s">
        <v>797</v>
      </c>
      <c r="E40" s="412" t="s">
        <v>269</v>
      </c>
      <c r="F40" s="26" t="s">
        <v>269</v>
      </c>
    </row>
    <row r="41" spans="1:6">
      <c r="A41" s="25" t="str">
        <f t="shared" ref="A41:A72" si="1">INDEX(B41:F41,$B$1)</f>
        <v>Prix Public unitaire €HT</v>
      </c>
      <c r="B41" s="21" t="s">
        <v>61</v>
      </c>
      <c r="C41" s="410" t="s">
        <v>831</v>
      </c>
      <c r="D41" s="410" t="s">
        <v>886</v>
      </c>
      <c r="E41" s="412" t="s">
        <v>267</v>
      </c>
      <c r="F41" s="26" t="s">
        <v>267</v>
      </c>
    </row>
    <row r="42" spans="1:6">
      <c r="A42" s="25" t="str">
        <f t="shared" si="1"/>
        <v>Prix Total €HT</v>
      </c>
      <c r="B42" s="21" t="s">
        <v>470</v>
      </c>
      <c r="C42" s="410" t="s">
        <v>832</v>
      </c>
      <c r="D42" s="410" t="s">
        <v>887</v>
      </c>
      <c r="E42" s="412"/>
      <c r="F42" s="26"/>
    </row>
    <row r="43" spans="1:6">
      <c r="A43" s="25" t="str">
        <f t="shared" si="1"/>
        <v>Prix unitaire après remise €HT</v>
      </c>
      <c r="B43" s="21" t="s">
        <v>114</v>
      </c>
      <c r="C43" s="410" t="s">
        <v>833</v>
      </c>
      <c r="D43" s="410" t="s">
        <v>888</v>
      </c>
      <c r="E43" s="412" t="s">
        <v>270</v>
      </c>
      <c r="F43" s="26" t="s">
        <v>270</v>
      </c>
    </row>
    <row r="44" spans="1:6">
      <c r="A44" s="344" t="str">
        <f t="shared" si="1"/>
        <v>TOIT 2x2 7016</v>
      </c>
      <c r="B44" s="345" t="s">
        <v>456</v>
      </c>
      <c r="C44" s="417" t="s">
        <v>72</v>
      </c>
      <c r="D44" s="417" t="s">
        <v>1105</v>
      </c>
      <c r="E44" s="417" t="s">
        <v>271</v>
      </c>
      <c r="F44" s="346" t="s">
        <v>271</v>
      </c>
    </row>
    <row r="45" spans="1:6">
      <c r="A45" s="344" t="str">
        <f t="shared" si="1"/>
        <v>TOIT 3x3 7016</v>
      </c>
      <c r="B45" s="345" t="s">
        <v>457</v>
      </c>
      <c r="C45" s="417" t="s">
        <v>73</v>
      </c>
      <c r="D45" s="417" t="s">
        <v>1106</v>
      </c>
      <c r="E45" s="417" t="s">
        <v>272</v>
      </c>
      <c r="F45" s="346" t="s">
        <v>272</v>
      </c>
    </row>
    <row r="46" spans="1:6">
      <c r="A46" s="344" t="str">
        <f t="shared" si="1"/>
        <v>TOIT 4x2 7016</v>
      </c>
      <c r="B46" s="345" t="s">
        <v>458</v>
      </c>
      <c r="C46" s="417" t="s">
        <v>74</v>
      </c>
      <c r="D46" s="417" t="s">
        <v>1107</v>
      </c>
      <c r="E46" s="417" t="s">
        <v>273</v>
      </c>
      <c r="F46" s="346" t="s">
        <v>273</v>
      </c>
    </row>
    <row r="47" spans="1:6">
      <c r="A47" s="344" t="str">
        <f t="shared" si="1"/>
        <v>TOIT 4x3 7016</v>
      </c>
      <c r="B47" s="345" t="s">
        <v>459</v>
      </c>
      <c r="C47" s="417" t="s">
        <v>75</v>
      </c>
      <c r="D47" s="417" t="s">
        <v>1108</v>
      </c>
      <c r="E47" s="417" t="s">
        <v>274</v>
      </c>
      <c r="F47" s="346" t="s">
        <v>274</v>
      </c>
    </row>
    <row r="48" spans="1:6">
      <c r="A48" s="344" t="str">
        <f t="shared" si="1"/>
        <v>TOIT 2x2 60c6p 7016 (Module 1655-1685)</v>
      </c>
      <c r="B48" s="345" t="s">
        <v>90</v>
      </c>
      <c r="C48" s="417" t="s">
        <v>94</v>
      </c>
      <c r="D48" s="417" t="s">
        <v>1109</v>
      </c>
      <c r="E48" s="417" t="s">
        <v>275</v>
      </c>
      <c r="F48" s="346" t="s">
        <v>275</v>
      </c>
    </row>
    <row r="49" spans="1:6">
      <c r="A49" s="344" t="str">
        <f t="shared" si="1"/>
        <v>TOIT 3x3 60c6p 7016 (Module 1655-1685)</v>
      </c>
      <c r="B49" s="345" t="s">
        <v>91</v>
      </c>
      <c r="C49" s="417" t="s">
        <v>95</v>
      </c>
      <c r="D49" s="417" t="s">
        <v>1110</v>
      </c>
      <c r="E49" s="417" t="s">
        <v>276</v>
      </c>
      <c r="F49" s="346" t="s">
        <v>276</v>
      </c>
    </row>
    <row r="50" spans="1:6">
      <c r="A50" s="344" t="str">
        <f t="shared" si="1"/>
        <v>TOIT 4x2 60c6p 7016 (Module 1655-1685)</v>
      </c>
      <c r="B50" s="345" t="s">
        <v>92</v>
      </c>
      <c r="C50" s="417" t="s">
        <v>96</v>
      </c>
      <c r="D50" s="417" t="s">
        <v>1111</v>
      </c>
      <c r="E50" s="417" t="s">
        <v>277</v>
      </c>
      <c r="F50" s="346" t="s">
        <v>277</v>
      </c>
    </row>
    <row r="51" spans="1:6">
      <c r="A51" s="344" t="str">
        <f t="shared" si="1"/>
        <v>TOIT 4x3 60c6p 7016 (Module 1655-1685)</v>
      </c>
      <c r="B51" s="345" t="s">
        <v>93</v>
      </c>
      <c r="C51" s="417" t="s">
        <v>97</v>
      </c>
      <c r="D51" s="417" t="s">
        <v>1112</v>
      </c>
      <c r="E51" s="417" t="s">
        <v>278</v>
      </c>
      <c r="F51" s="346" t="s">
        <v>278</v>
      </c>
    </row>
    <row r="52" spans="1:6">
      <c r="A52" s="344" t="str">
        <f t="shared" si="1"/>
        <v>PIEDS (lot de 2) 2400 7016</v>
      </c>
      <c r="B52" s="345" t="s">
        <v>7</v>
      </c>
      <c r="C52" s="416" t="s">
        <v>30</v>
      </c>
      <c r="D52" s="416" t="s">
        <v>1113</v>
      </c>
      <c r="E52" s="416" t="s">
        <v>279</v>
      </c>
      <c r="F52" s="345" t="s">
        <v>279</v>
      </c>
    </row>
    <row r="53" spans="1:6">
      <c r="A53" s="344" t="str">
        <f t="shared" si="1"/>
        <v>FINITION LAT. A LIGNE AV+AR 7016</v>
      </c>
      <c r="B53" s="345" t="s">
        <v>10</v>
      </c>
      <c r="C53" s="416" t="s">
        <v>48</v>
      </c>
      <c r="D53" s="416" t="s">
        <v>1114</v>
      </c>
      <c r="E53" s="420"/>
      <c r="F53" s="358"/>
    </row>
    <row r="54" spans="1:6">
      <c r="A54" s="344" t="str">
        <f t="shared" si="1"/>
        <v>FINITION LAT. A +1 LIGNE 7016</v>
      </c>
      <c r="B54" s="345" t="s">
        <v>8</v>
      </c>
      <c r="C54" s="416" t="s">
        <v>49</v>
      </c>
      <c r="D54" s="416" t="s">
        <v>1115</v>
      </c>
      <c r="E54" s="420"/>
      <c r="F54" s="358"/>
    </row>
    <row r="55" spans="1:6">
      <c r="A55" s="344" t="str">
        <f t="shared" si="1"/>
        <v>OPTION COULEUR</v>
      </c>
      <c r="B55" s="345" t="s">
        <v>35</v>
      </c>
      <c r="C55" s="416" t="s">
        <v>50</v>
      </c>
      <c r="D55" s="416" t="s">
        <v>1116</v>
      </c>
      <c r="E55" s="420" t="s">
        <v>280</v>
      </c>
      <c r="F55" s="358" t="s">
        <v>280</v>
      </c>
    </row>
    <row r="56" spans="1:6">
      <c r="A56" s="25" t="str">
        <f t="shared" si="1"/>
        <v>Prix Public par pergola €HT</v>
      </c>
      <c r="B56" s="21" t="s">
        <v>819</v>
      </c>
      <c r="C56" s="410" t="s">
        <v>834</v>
      </c>
      <c r="D56" s="410" t="s">
        <v>889</v>
      </c>
      <c r="E56" s="412" t="s">
        <v>290</v>
      </c>
      <c r="F56" s="26" t="s">
        <v>290</v>
      </c>
    </row>
    <row r="57" spans="1:6">
      <c r="A57" s="25" t="str">
        <f t="shared" si="1"/>
        <v>Prix par pergola après remise €HT</v>
      </c>
      <c r="B57" s="21" t="s">
        <v>820</v>
      </c>
      <c r="C57" s="410" t="s">
        <v>835</v>
      </c>
      <c r="D57" s="410" t="s">
        <v>890</v>
      </c>
      <c r="E57" s="412" t="s">
        <v>291</v>
      </c>
      <c r="F57" s="26" t="s">
        <v>291</v>
      </c>
    </row>
    <row r="58" spans="1:6">
      <c r="A58" s="25" t="str">
        <f t="shared" si="1"/>
        <v>Remise client</v>
      </c>
      <c r="B58" s="21" t="s">
        <v>3</v>
      </c>
      <c r="C58" s="410" t="s">
        <v>31</v>
      </c>
      <c r="D58" s="410" t="s">
        <v>891</v>
      </c>
      <c r="E58" s="412" t="s">
        <v>292</v>
      </c>
      <c r="F58" s="26" t="s">
        <v>292</v>
      </c>
    </row>
    <row r="59" spans="1:6">
      <c r="A59" s="344" t="str">
        <f t="shared" si="1"/>
        <v>* Ceci est une estimation (en cours de validation)</v>
      </c>
      <c r="B59" s="346" t="s">
        <v>6</v>
      </c>
      <c r="C59" s="417" t="s">
        <v>33</v>
      </c>
      <c r="D59" s="417" t="s">
        <v>1117</v>
      </c>
      <c r="E59" s="420"/>
      <c r="F59" s="358"/>
    </row>
    <row r="60" spans="1:6">
      <c r="A60" s="348" t="str">
        <f t="shared" si="1"/>
        <v>Pour information : Les références de toiture sont gerbables jusqu'à 7 éléments.</v>
      </c>
      <c r="B60" s="346" t="s">
        <v>496</v>
      </c>
      <c r="C60" s="417" t="s">
        <v>34</v>
      </c>
      <c r="D60" s="417" t="s">
        <v>1118</v>
      </c>
      <c r="E60" s="418" t="s">
        <v>298</v>
      </c>
      <c r="F60" s="348" t="s">
        <v>298</v>
      </c>
    </row>
    <row r="61" spans="1:6">
      <c r="A61" s="20" t="str">
        <f t="shared" si="1"/>
        <v>Option sous-face</v>
      </c>
      <c r="B61" s="20" t="s">
        <v>231</v>
      </c>
      <c r="C61" s="553" t="s">
        <v>115</v>
      </c>
      <c r="D61" s="553" t="s">
        <v>892</v>
      </c>
      <c r="E61" s="409"/>
      <c r="F61" s="20"/>
    </row>
    <row r="62" spans="1:6">
      <c r="A62" s="348" t="str">
        <f t="shared" si="1"/>
        <v>* : Attention : La pose de la sous-face impose obligatoirement la finition latérale module</v>
      </c>
      <c r="B62" s="348" t="s">
        <v>129</v>
      </c>
      <c r="C62" s="552" t="s">
        <v>116</v>
      </c>
      <c r="D62" s="552" t="s">
        <v>1119</v>
      </c>
      <c r="E62" s="418"/>
      <c r="F62" s="348"/>
    </row>
    <row r="63" spans="1:6">
      <c r="A63" s="348" t="str">
        <f t="shared" si="1"/>
        <v>Les plaques polycarbonates seront livrées (Quantité respectant nos UDV).</v>
      </c>
      <c r="B63" s="348" t="s">
        <v>57</v>
      </c>
      <c r="C63" s="421" t="s">
        <v>120</v>
      </c>
      <c r="D63" s="421" t="s">
        <v>1120</v>
      </c>
      <c r="E63" s="418" t="s">
        <v>299</v>
      </c>
      <c r="F63" s="348" t="s">
        <v>299</v>
      </c>
    </row>
    <row r="64" spans="1:6">
      <c r="A64" s="20" t="str">
        <f t="shared" si="1"/>
        <v>Poids (Kg)</v>
      </c>
      <c r="B64" s="27" t="s">
        <v>60</v>
      </c>
      <c r="C64" s="553" t="s">
        <v>63</v>
      </c>
      <c r="D64" s="553" t="s">
        <v>893</v>
      </c>
      <c r="E64" s="409" t="s">
        <v>293</v>
      </c>
      <c r="F64" s="20" t="s">
        <v>293</v>
      </c>
    </row>
    <row r="65" spans="1:6">
      <c r="A65" s="20" t="str">
        <f t="shared" si="1"/>
        <v>Listing des ombrières en commande :</v>
      </c>
      <c r="B65" s="27" t="s">
        <v>130</v>
      </c>
      <c r="C65" s="410" t="s">
        <v>118</v>
      </c>
      <c r="D65" s="410" t="s">
        <v>894</v>
      </c>
      <c r="E65" s="409" t="s">
        <v>300</v>
      </c>
      <c r="F65" s="20" t="s">
        <v>300</v>
      </c>
    </row>
    <row r="66" spans="1:6">
      <c r="A66" s="20" t="str">
        <f t="shared" si="1"/>
        <v xml:space="preserve">Altitude (m) : </v>
      </c>
      <c r="B66" s="20" t="s">
        <v>703</v>
      </c>
      <c r="C66" s="553" t="s">
        <v>798</v>
      </c>
      <c r="D66" s="553" t="s">
        <v>895</v>
      </c>
      <c r="E66" s="409"/>
      <c r="F66" s="20"/>
    </row>
    <row r="67" spans="1:6">
      <c r="A67" s="20" t="str">
        <f t="shared" si="1"/>
        <v xml:space="preserve">Catégorie de terrain : </v>
      </c>
      <c r="B67" s="20" t="s">
        <v>704</v>
      </c>
      <c r="C67" s="553" t="s">
        <v>836</v>
      </c>
      <c r="D67" s="553" t="s">
        <v>896</v>
      </c>
      <c r="E67" s="409"/>
      <c r="F67" s="20"/>
    </row>
    <row r="68" spans="1:6">
      <c r="A68" s="20" t="str">
        <f t="shared" si="1"/>
        <v xml:space="preserve">Zone de neige : </v>
      </c>
      <c r="B68" s="20" t="s">
        <v>705</v>
      </c>
      <c r="C68" s="553" t="s">
        <v>837</v>
      </c>
      <c r="D68" s="553" t="s">
        <v>897</v>
      </c>
      <c r="E68" s="409"/>
      <c r="F68" s="20"/>
    </row>
    <row r="69" spans="1:6">
      <c r="A69" s="20" t="str">
        <f t="shared" si="1"/>
        <v xml:space="preserve">Zone de vent : </v>
      </c>
      <c r="B69" s="20" t="s">
        <v>706</v>
      </c>
      <c r="C69" s="553" t="s">
        <v>838</v>
      </c>
      <c r="D69" s="553" t="s">
        <v>898</v>
      </c>
      <c r="E69" s="409"/>
      <c r="F69" s="20"/>
    </row>
    <row r="70" spans="1:6">
      <c r="A70" s="20" t="str">
        <f t="shared" si="1"/>
        <v xml:space="preserve">Pression de neige (Pa) : </v>
      </c>
      <c r="B70" s="20" t="s">
        <v>707</v>
      </c>
      <c r="C70" s="553" t="s">
        <v>839</v>
      </c>
      <c r="D70" s="553" t="s">
        <v>899</v>
      </c>
      <c r="E70" s="409"/>
      <c r="F70" s="20"/>
    </row>
    <row r="71" spans="1:6">
      <c r="A71" s="20" t="str">
        <f t="shared" si="1"/>
        <v xml:space="preserve">Pression du vent (Pa) : </v>
      </c>
      <c r="B71" s="20" t="s">
        <v>708</v>
      </c>
      <c r="C71" s="553" t="s">
        <v>840</v>
      </c>
      <c r="D71" s="553" t="s">
        <v>900</v>
      </c>
      <c r="E71" s="409"/>
      <c r="F71" s="20"/>
    </row>
    <row r="72" spans="1:6">
      <c r="A72" s="20" t="str">
        <f t="shared" si="1"/>
        <v xml:space="preserve">Charges descendantes : </v>
      </c>
      <c r="B72" s="20" t="s">
        <v>702</v>
      </c>
      <c r="C72" s="553" t="s">
        <v>841</v>
      </c>
      <c r="D72" s="553" t="s">
        <v>901</v>
      </c>
      <c r="E72" s="409"/>
      <c r="F72" s="20"/>
    </row>
    <row r="73" spans="1:6">
      <c r="A73" s="20" t="str">
        <f t="shared" ref="A73:A78" si="2">INDEX(B73:F73,$B$1)</f>
        <v xml:space="preserve">Charges ascendantes : </v>
      </c>
      <c r="B73" s="20" t="s">
        <v>701</v>
      </c>
      <c r="C73" s="553" t="s">
        <v>842</v>
      </c>
      <c r="D73" s="553" t="s">
        <v>902</v>
      </c>
      <c r="E73" s="409"/>
      <c r="F73" s="20"/>
    </row>
    <row r="74" spans="1:6">
      <c r="A74" s="20" t="str">
        <f t="shared" si="2"/>
        <v xml:space="preserve">Format Pergola : </v>
      </c>
      <c r="B74" s="20" t="s">
        <v>709</v>
      </c>
      <c r="C74" s="553" t="s">
        <v>843</v>
      </c>
      <c r="D74" s="553" t="s">
        <v>903</v>
      </c>
      <c r="E74" s="409"/>
      <c r="F74" s="20"/>
    </row>
    <row r="75" spans="1:6">
      <c r="A75" s="20" t="str">
        <f t="shared" si="2"/>
        <v>Attention : ajouter la chute de neige du toit si nécessaire.</v>
      </c>
      <c r="B75" s="20" t="s">
        <v>710</v>
      </c>
      <c r="C75" s="553" t="s">
        <v>844</v>
      </c>
      <c r="D75" s="553" t="s">
        <v>904</v>
      </c>
      <c r="E75" s="409"/>
      <c r="F75" s="20"/>
    </row>
    <row r="76" spans="1:6">
      <c r="A76" s="25" t="str">
        <f t="shared" si="2"/>
        <v>Charges OK</v>
      </c>
      <c r="B76" s="20" t="s">
        <v>711</v>
      </c>
      <c r="C76" s="553" t="s">
        <v>799</v>
      </c>
      <c r="D76" s="553" t="s">
        <v>800</v>
      </c>
      <c r="E76" s="409"/>
      <c r="F76" s="20"/>
    </row>
    <row r="77" spans="1:6">
      <c r="A77" s="25" t="str">
        <f t="shared" si="2"/>
        <v>Charges trop importantes</v>
      </c>
      <c r="B77" s="20" t="s">
        <v>712</v>
      </c>
      <c r="C77" s="553" t="s">
        <v>845</v>
      </c>
      <c r="D77" s="553" t="s">
        <v>905</v>
      </c>
      <c r="E77" s="409"/>
      <c r="F77" s="20"/>
    </row>
    <row r="78" spans="1:6">
      <c r="A78" s="25" t="str">
        <f t="shared" si="2"/>
        <v>Quantité totale de Screen</v>
      </c>
      <c r="B78" s="20" t="s">
        <v>810</v>
      </c>
      <c r="C78" s="553" t="s">
        <v>846</v>
      </c>
      <c r="D78" s="553" t="s">
        <v>906</v>
      </c>
      <c r="E78" s="409"/>
      <c r="F78" s="20"/>
    </row>
    <row r="79" spans="1:6">
      <c r="A79" s="25"/>
      <c r="B79" s="20"/>
      <c r="C79" s="553"/>
      <c r="D79" s="553"/>
      <c r="E79" s="409"/>
      <c r="F79" s="20"/>
    </row>
    <row r="80" spans="1:6">
      <c r="A80" s="344" t="str">
        <f t="shared" ref="A80:A111" si="3">INDEX(B80:F80,$B$1)</f>
        <v>TOIT 2x2 60c6p 9010 (Module 1635-1676)</v>
      </c>
      <c r="B80" s="345" t="s">
        <v>64</v>
      </c>
      <c r="C80" s="417" t="s">
        <v>76</v>
      </c>
      <c r="D80" s="417" t="s">
        <v>1121</v>
      </c>
      <c r="E80" s="417" t="s">
        <v>281</v>
      </c>
      <c r="F80" s="346" t="s">
        <v>281</v>
      </c>
    </row>
    <row r="81" spans="1:6">
      <c r="A81" s="344" t="str">
        <f t="shared" si="3"/>
        <v>TOIT 3x3 60c6p 9010 (Module 1635-1676)</v>
      </c>
      <c r="B81" s="345" t="s">
        <v>65</v>
      </c>
      <c r="C81" s="417" t="s">
        <v>77</v>
      </c>
      <c r="D81" s="417" t="s">
        <v>1122</v>
      </c>
      <c r="E81" s="417" t="s">
        <v>282</v>
      </c>
      <c r="F81" s="346" t="s">
        <v>282</v>
      </c>
    </row>
    <row r="82" spans="1:6">
      <c r="A82" s="344" t="str">
        <f t="shared" si="3"/>
        <v>TOIT 4x2 60c6p 9010 (Module 1635-1676)</v>
      </c>
      <c r="B82" s="345" t="s">
        <v>66</v>
      </c>
      <c r="C82" s="417" t="s">
        <v>78</v>
      </c>
      <c r="D82" s="417" t="s">
        <v>1123</v>
      </c>
      <c r="E82" s="417" t="s">
        <v>283</v>
      </c>
      <c r="F82" s="346" t="s">
        <v>283</v>
      </c>
    </row>
    <row r="83" spans="1:6">
      <c r="A83" s="344" t="str">
        <f t="shared" si="3"/>
        <v>TOIT 4x3 60c6p 9010 (Module 1635-1676)</v>
      </c>
      <c r="B83" s="345" t="s">
        <v>67</v>
      </c>
      <c r="C83" s="417" t="s">
        <v>79</v>
      </c>
      <c r="D83" s="417" t="s">
        <v>1124</v>
      </c>
      <c r="E83" s="417" t="s">
        <v>284</v>
      </c>
      <c r="F83" s="346" t="s">
        <v>284</v>
      </c>
    </row>
    <row r="84" spans="1:6">
      <c r="A84" s="344" t="str">
        <f t="shared" si="3"/>
        <v>TOIT 2x2 60c6p 9010 (Module 1655-1685)</v>
      </c>
      <c r="B84" s="345" t="s">
        <v>98</v>
      </c>
      <c r="C84" s="417" t="s">
        <v>102</v>
      </c>
      <c r="D84" s="417" t="s">
        <v>1125</v>
      </c>
      <c r="E84" s="417" t="s">
        <v>285</v>
      </c>
      <c r="F84" s="346" t="s">
        <v>285</v>
      </c>
    </row>
    <row r="85" spans="1:6">
      <c r="A85" s="344" t="str">
        <f t="shared" si="3"/>
        <v>TOIT 3x3 60c6p 9010 (Module 1655-1685)</v>
      </c>
      <c r="B85" s="345" t="s">
        <v>99</v>
      </c>
      <c r="C85" s="417" t="s">
        <v>103</v>
      </c>
      <c r="D85" s="417" t="s">
        <v>1126</v>
      </c>
      <c r="E85" s="417" t="s">
        <v>286</v>
      </c>
      <c r="F85" s="346" t="s">
        <v>286</v>
      </c>
    </row>
    <row r="86" spans="1:6">
      <c r="A86" s="344" t="str">
        <f t="shared" si="3"/>
        <v>TOIT 4x2 60c6p 9010 (Module 1655-1685)</v>
      </c>
      <c r="B86" s="345" t="s">
        <v>100</v>
      </c>
      <c r="C86" s="417" t="s">
        <v>104</v>
      </c>
      <c r="D86" s="417" t="s">
        <v>1127</v>
      </c>
      <c r="E86" s="417" t="s">
        <v>287</v>
      </c>
      <c r="F86" s="346" t="s">
        <v>287</v>
      </c>
    </row>
    <row r="87" spans="1:6">
      <c r="A87" s="344" t="str">
        <f t="shared" si="3"/>
        <v>TOIT 4x3 60c6p 9010 (Module 1655-1685)</v>
      </c>
      <c r="B87" s="345" t="s">
        <v>101</v>
      </c>
      <c r="C87" s="417" t="s">
        <v>105</v>
      </c>
      <c r="D87" s="417" t="s">
        <v>1128</v>
      </c>
      <c r="E87" s="417" t="s">
        <v>288</v>
      </c>
      <c r="F87" s="346" t="s">
        <v>288</v>
      </c>
    </row>
    <row r="88" spans="1:6">
      <c r="A88" s="25" t="str">
        <f t="shared" si="3"/>
        <v>PIEDS (lot de 2) 2400 9010</v>
      </c>
      <c r="B88" s="29" t="s">
        <v>42</v>
      </c>
      <c r="C88" s="413" t="s">
        <v>847</v>
      </c>
      <c r="D88" s="413" t="s">
        <v>907</v>
      </c>
      <c r="E88" s="413" t="s">
        <v>289</v>
      </c>
      <c r="F88" s="29" t="s">
        <v>289</v>
      </c>
    </row>
    <row r="89" spans="1:6">
      <c r="A89" s="25" t="str">
        <f t="shared" si="3"/>
        <v>FINITION LAT. A LIGNE AV+AR 9010</v>
      </c>
      <c r="B89" s="29" t="s">
        <v>43</v>
      </c>
      <c r="C89" s="413" t="s">
        <v>51</v>
      </c>
      <c r="D89" s="413" t="s">
        <v>908</v>
      </c>
      <c r="E89" s="409"/>
      <c r="F89" s="20"/>
    </row>
    <row r="90" spans="1:6">
      <c r="A90" s="25" t="str">
        <f t="shared" si="3"/>
        <v>FINITION LAT. A +1 LIGNE 9010</v>
      </c>
      <c r="B90" s="29" t="s">
        <v>44</v>
      </c>
      <c r="C90" s="413" t="s">
        <v>52</v>
      </c>
      <c r="D90" s="413" t="s">
        <v>909</v>
      </c>
      <c r="E90" s="409"/>
      <c r="F90" s="20"/>
    </row>
    <row r="91" spans="1:6">
      <c r="A91" s="20" t="str">
        <f t="shared" si="3"/>
        <v>Pieds</v>
      </c>
      <c r="B91" s="20" t="s">
        <v>85</v>
      </c>
      <c r="C91" s="553" t="s">
        <v>86</v>
      </c>
      <c r="D91" s="553" t="s">
        <v>910</v>
      </c>
      <c r="E91" s="409"/>
      <c r="F91" s="20"/>
    </row>
    <row r="92" spans="1:6">
      <c r="A92" s="20" t="str">
        <f t="shared" si="3"/>
        <v>Sans finition latérale module</v>
      </c>
      <c r="B92" s="22" t="s">
        <v>131</v>
      </c>
      <c r="C92" s="411" t="s">
        <v>87</v>
      </c>
      <c r="D92" s="411" t="s">
        <v>911</v>
      </c>
      <c r="E92" s="409"/>
      <c r="F92" s="20"/>
    </row>
    <row r="93" spans="1:6">
      <c r="A93" s="20" t="str">
        <f t="shared" si="3"/>
        <v>Avec Sous-face</v>
      </c>
      <c r="B93" s="20" t="s">
        <v>88</v>
      </c>
      <c r="C93" s="553" t="s">
        <v>117</v>
      </c>
      <c r="D93" s="553" t="s">
        <v>912</v>
      </c>
      <c r="E93" s="409"/>
      <c r="F93" s="20"/>
    </row>
    <row r="94" spans="1:6">
      <c r="A94" s="20" t="str">
        <f t="shared" si="3"/>
        <v>Sans Sous-face</v>
      </c>
      <c r="B94" s="20" t="s">
        <v>89</v>
      </c>
      <c r="C94" s="553" t="s">
        <v>119</v>
      </c>
      <c r="D94" s="553" t="s">
        <v>913</v>
      </c>
      <c r="E94" s="409"/>
      <c r="F94" s="20"/>
    </row>
    <row r="95" spans="1:6">
      <c r="A95" s="348" t="str">
        <f t="shared" si="3"/>
        <v>TOIT 2x2 60c6p XXXX (Module 1635-1676)</v>
      </c>
      <c r="B95" s="345" t="s">
        <v>68</v>
      </c>
      <c r="C95" s="417" t="s">
        <v>80</v>
      </c>
      <c r="D95" s="417" t="s">
        <v>1129</v>
      </c>
      <c r="E95" s="417" t="s">
        <v>301</v>
      </c>
      <c r="F95" s="346" t="s">
        <v>301</v>
      </c>
    </row>
    <row r="96" spans="1:6">
      <c r="A96" s="348" t="str">
        <f t="shared" si="3"/>
        <v>TOIT 3x3 60c6p XXXX (Module 1635-1676)</v>
      </c>
      <c r="B96" s="345" t="s">
        <v>69</v>
      </c>
      <c r="C96" s="417" t="s">
        <v>81</v>
      </c>
      <c r="D96" s="417" t="s">
        <v>1130</v>
      </c>
      <c r="E96" s="417" t="s">
        <v>302</v>
      </c>
      <c r="F96" s="346" t="s">
        <v>302</v>
      </c>
    </row>
    <row r="97" spans="1:6">
      <c r="A97" s="348" t="str">
        <f t="shared" si="3"/>
        <v>TOIT 4x2 60c6p XXXX (Module 1635-1676)</v>
      </c>
      <c r="B97" s="345" t="s">
        <v>70</v>
      </c>
      <c r="C97" s="417" t="s">
        <v>82</v>
      </c>
      <c r="D97" s="417" t="s">
        <v>1131</v>
      </c>
      <c r="E97" s="417" t="s">
        <v>303</v>
      </c>
      <c r="F97" s="346" t="s">
        <v>303</v>
      </c>
    </row>
    <row r="98" spans="1:6">
      <c r="A98" s="348" t="str">
        <f t="shared" si="3"/>
        <v>TOIT 4x3 60c6p XXXX (Module 1635-1676)</v>
      </c>
      <c r="B98" s="345" t="s">
        <v>71</v>
      </c>
      <c r="C98" s="417" t="s">
        <v>83</v>
      </c>
      <c r="D98" s="417" t="s">
        <v>1132</v>
      </c>
      <c r="E98" s="417" t="s">
        <v>304</v>
      </c>
      <c r="F98" s="346" t="s">
        <v>304</v>
      </c>
    </row>
    <row r="99" spans="1:6">
      <c r="A99" s="348" t="str">
        <f t="shared" si="3"/>
        <v>TOIT 2x2 60c6p XXXX (Module 1655-1685)</v>
      </c>
      <c r="B99" s="345" t="s">
        <v>106</v>
      </c>
      <c r="C99" s="417" t="s">
        <v>110</v>
      </c>
      <c r="D99" s="417" t="s">
        <v>1133</v>
      </c>
      <c r="E99" s="417" t="s">
        <v>305</v>
      </c>
      <c r="F99" s="346" t="s">
        <v>305</v>
      </c>
    </row>
    <row r="100" spans="1:6">
      <c r="A100" s="348" t="str">
        <f t="shared" si="3"/>
        <v>TOIT 3x3 60c6p XXXX (Module 1655-1685)</v>
      </c>
      <c r="B100" s="345" t="s">
        <v>107</v>
      </c>
      <c r="C100" s="417" t="s">
        <v>111</v>
      </c>
      <c r="D100" s="417" t="s">
        <v>1134</v>
      </c>
      <c r="E100" s="417" t="s">
        <v>306</v>
      </c>
      <c r="F100" s="346" t="s">
        <v>306</v>
      </c>
    </row>
    <row r="101" spans="1:6">
      <c r="A101" s="348" t="str">
        <f t="shared" si="3"/>
        <v>TOIT 4x2 60c6p XXXX (Module 1655-1685)</v>
      </c>
      <c r="B101" s="345" t="s">
        <v>108</v>
      </c>
      <c r="C101" s="417" t="s">
        <v>112</v>
      </c>
      <c r="D101" s="417" t="s">
        <v>1135</v>
      </c>
      <c r="E101" s="417" t="s">
        <v>307</v>
      </c>
      <c r="F101" s="346" t="s">
        <v>307</v>
      </c>
    </row>
    <row r="102" spans="1:6">
      <c r="A102" s="348" t="str">
        <f t="shared" si="3"/>
        <v>TOIT 4x3 60c6p XXXX (Module 1655-1685)</v>
      </c>
      <c r="B102" s="345" t="s">
        <v>109</v>
      </c>
      <c r="C102" s="417" t="s">
        <v>113</v>
      </c>
      <c r="D102" s="417" t="s">
        <v>1136</v>
      </c>
      <c r="E102" s="417" t="s">
        <v>308</v>
      </c>
      <c r="F102" s="346" t="s">
        <v>308</v>
      </c>
    </row>
    <row r="103" spans="1:6">
      <c r="A103" s="348" t="str">
        <f t="shared" si="3"/>
        <v>PIEDS (lot de 2) 2400 XXXX</v>
      </c>
      <c r="B103" s="345" t="s">
        <v>45</v>
      </c>
      <c r="C103" s="416" t="s">
        <v>84</v>
      </c>
      <c r="D103" s="416" t="s">
        <v>1137</v>
      </c>
      <c r="E103" s="416" t="s">
        <v>309</v>
      </c>
      <c r="F103" s="345" t="s">
        <v>309</v>
      </c>
    </row>
    <row r="104" spans="1:6">
      <c r="A104" s="348" t="str">
        <f t="shared" si="3"/>
        <v>FINITION LAT. A LIGNE AV+AR XXXX</v>
      </c>
      <c r="B104" s="345" t="s">
        <v>46</v>
      </c>
      <c r="C104" s="416" t="s">
        <v>53</v>
      </c>
      <c r="D104" s="416" t="s">
        <v>1138</v>
      </c>
      <c r="E104" s="418"/>
      <c r="F104" s="348"/>
    </row>
    <row r="105" spans="1:6">
      <c r="A105" s="348" t="str">
        <f t="shared" si="3"/>
        <v>FINITION LAT. A +1 LIGNE XXXX</v>
      </c>
      <c r="B105" s="345" t="s">
        <v>47</v>
      </c>
      <c r="C105" s="416" t="s">
        <v>54</v>
      </c>
      <c r="D105" s="416" t="s">
        <v>1139</v>
      </c>
      <c r="E105" s="418"/>
      <c r="F105" s="348"/>
    </row>
    <row r="106" spans="1:6">
      <c r="A106" s="20" t="str">
        <f t="shared" si="3"/>
        <v>Compléter la liste de vos pièces</v>
      </c>
      <c r="B106" s="29" t="s">
        <v>811</v>
      </c>
      <c r="C106" s="413" t="s">
        <v>848</v>
      </c>
      <c r="D106" s="413" t="s">
        <v>914</v>
      </c>
      <c r="E106" s="409"/>
      <c r="F106" s="20"/>
    </row>
    <row r="107" spans="1:6">
      <c r="A107" s="20" t="str">
        <f t="shared" si="3"/>
        <v>Liste de pièces IRFTS en gras</v>
      </c>
      <c r="B107" s="29" t="s">
        <v>696</v>
      </c>
      <c r="C107" s="413" t="s">
        <v>849</v>
      </c>
      <c r="D107" s="413" t="s">
        <v>915</v>
      </c>
      <c r="E107" s="409"/>
      <c r="F107" s="20"/>
    </row>
    <row r="108" spans="1:6">
      <c r="A108" s="20" t="str">
        <f t="shared" si="3"/>
        <v>Vérifier que les charges sur la Pergola sont correctes</v>
      </c>
      <c r="B108" s="29" t="s">
        <v>765</v>
      </c>
      <c r="C108" s="413" t="s">
        <v>850</v>
      </c>
      <c r="D108" s="413" t="s">
        <v>916</v>
      </c>
      <c r="E108" s="409"/>
      <c r="F108" s="20"/>
    </row>
    <row r="109" spans="1:6">
      <c r="A109" s="20" t="str">
        <f t="shared" si="3"/>
        <v>Répondre aux questions des cases en jaune</v>
      </c>
      <c r="B109" s="20" t="s">
        <v>695</v>
      </c>
      <c r="C109" s="553" t="s">
        <v>851</v>
      </c>
      <c r="D109" s="553" t="s">
        <v>917</v>
      </c>
      <c r="E109" s="409"/>
      <c r="F109" s="20"/>
    </row>
    <row r="110" spans="1:6">
      <c r="A110" s="20" t="str">
        <f t="shared" si="3"/>
        <v>XXXX = Code Couleur</v>
      </c>
      <c r="B110" s="20" t="s">
        <v>41</v>
      </c>
      <c r="C110" s="553" t="s">
        <v>55</v>
      </c>
      <c r="D110" s="553" t="s">
        <v>918</v>
      </c>
      <c r="E110" s="409" t="s">
        <v>310</v>
      </c>
      <c r="F110" s="20" t="s">
        <v>310</v>
      </c>
    </row>
    <row r="111" spans="1:6">
      <c r="A111" s="20" t="str">
        <f t="shared" si="3"/>
        <v>Choix couleur Standard RAL</v>
      </c>
      <c r="B111" s="20" t="s">
        <v>657</v>
      </c>
      <c r="C111" s="553" t="s">
        <v>852</v>
      </c>
      <c r="D111" s="553" t="s">
        <v>919</v>
      </c>
      <c r="E111" s="409" t="s">
        <v>311</v>
      </c>
      <c r="F111" s="20" t="s">
        <v>311</v>
      </c>
    </row>
    <row r="112" spans="1:6">
      <c r="A112" s="20" t="str">
        <f t="shared" ref="A112:A143" si="4">INDEX(B112:F112,$B$1)</f>
        <v>Choix autre couleur</v>
      </c>
      <c r="B112" s="20" t="s">
        <v>40</v>
      </c>
      <c r="C112" s="553" t="s">
        <v>853</v>
      </c>
      <c r="D112" s="553" t="s">
        <v>920</v>
      </c>
      <c r="E112" s="409" t="s">
        <v>312</v>
      </c>
      <c r="F112" s="20" t="s">
        <v>312</v>
      </c>
    </row>
    <row r="113" spans="1:6">
      <c r="A113" s="20" t="str">
        <f t="shared" si="4"/>
        <v>Total commande €HT</v>
      </c>
      <c r="B113" s="20" t="s">
        <v>821</v>
      </c>
      <c r="C113" s="553" t="s">
        <v>993</v>
      </c>
      <c r="D113" s="553" t="s">
        <v>921</v>
      </c>
      <c r="E113" s="409" t="s">
        <v>313</v>
      </c>
      <c r="F113" s="20" t="s">
        <v>313</v>
      </c>
    </row>
    <row r="114" spans="1:6">
      <c r="A114" s="20" t="str">
        <f t="shared" si="4"/>
        <v>POLYCARBONATE OMBRIERE 2 COLONNES</v>
      </c>
      <c r="B114" s="20" t="s">
        <v>58</v>
      </c>
      <c r="C114" s="553" t="s">
        <v>854</v>
      </c>
      <c r="D114" s="553" t="s">
        <v>922</v>
      </c>
      <c r="E114" s="409" t="s">
        <v>314</v>
      </c>
      <c r="F114" s="20" t="s">
        <v>314</v>
      </c>
    </row>
    <row r="115" spans="1:6">
      <c r="A115" s="20" t="str">
        <f t="shared" si="4"/>
        <v>POLYCARBONATE OMBRIERE 1,5 COLONNES</v>
      </c>
      <c r="B115" s="20" t="s">
        <v>59</v>
      </c>
      <c r="C115" s="553" t="s">
        <v>62</v>
      </c>
      <c r="D115" s="553" t="s">
        <v>923</v>
      </c>
      <c r="E115" s="409" t="s">
        <v>315</v>
      </c>
      <c r="F115" s="20" t="s">
        <v>315</v>
      </c>
    </row>
    <row r="116" spans="1:6">
      <c r="A116" s="20" t="str">
        <f t="shared" si="4"/>
        <v>KIT VISSERIE OMBRIERE BLANC</v>
      </c>
      <c r="B116" s="20" t="s">
        <v>147</v>
      </c>
      <c r="C116" s="553" t="s">
        <v>145</v>
      </c>
      <c r="D116" s="553" t="s">
        <v>924</v>
      </c>
      <c r="E116" s="409" t="s">
        <v>316</v>
      </c>
      <c r="F116" s="20" t="s">
        <v>316</v>
      </c>
    </row>
    <row r="117" spans="1:6">
      <c r="A117" s="20" t="str">
        <f t="shared" si="4"/>
        <v>KIT VISSERIE OMBRIERE NOIR</v>
      </c>
      <c r="B117" s="20" t="s">
        <v>144</v>
      </c>
      <c r="C117" s="553" t="s">
        <v>146</v>
      </c>
      <c r="D117" s="553" t="s">
        <v>924</v>
      </c>
      <c r="E117" s="409" t="s">
        <v>317</v>
      </c>
      <c r="F117" s="20" t="s">
        <v>317</v>
      </c>
    </row>
    <row r="118" spans="1:6">
      <c r="A118" s="20" t="str">
        <f t="shared" si="4"/>
        <v>KIT 2 EMBASE PIEDS OMBRIERE</v>
      </c>
      <c r="B118" s="20" t="s">
        <v>137</v>
      </c>
      <c r="C118" s="553" t="s">
        <v>134</v>
      </c>
      <c r="D118" s="553" t="s">
        <v>925</v>
      </c>
      <c r="E118" s="409" t="s">
        <v>318</v>
      </c>
      <c r="F118" s="20" t="s">
        <v>318</v>
      </c>
    </row>
    <row r="119" spans="1:6">
      <c r="A119" s="20" t="str">
        <f t="shared" si="4"/>
        <v>KIT LED TELECOMMANDE 9.6W/M BLANC NEUTRE 2x5M</v>
      </c>
      <c r="B119" s="20" t="s">
        <v>132</v>
      </c>
      <c r="C119" s="553" t="s">
        <v>135</v>
      </c>
      <c r="D119" s="553" t="s">
        <v>1140</v>
      </c>
      <c r="E119" s="409" t="s">
        <v>319</v>
      </c>
      <c r="F119" s="20" t="s">
        <v>319</v>
      </c>
    </row>
    <row r="120" spans="1:6">
      <c r="A120" s="20" t="str">
        <f t="shared" si="4"/>
        <v>Choix du module photovoltaïque</v>
      </c>
      <c r="B120" s="20" t="s">
        <v>677</v>
      </c>
      <c r="C120" s="553" t="s">
        <v>855</v>
      </c>
      <c r="D120" s="553" t="s">
        <v>926</v>
      </c>
      <c r="E120" s="409"/>
      <c r="F120" s="20"/>
    </row>
    <row r="121" spans="1:6">
      <c r="A121" s="20" t="str">
        <f t="shared" si="4"/>
        <v>Choix de l'onduleur</v>
      </c>
      <c r="B121" s="20" t="s">
        <v>678</v>
      </c>
      <c r="C121" s="553" t="s">
        <v>856</v>
      </c>
      <c r="D121" s="553" t="s">
        <v>927</v>
      </c>
      <c r="E121" s="409"/>
      <c r="F121" s="20"/>
    </row>
    <row r="122" spans="1:6">
      <c r="A122" s="20" t="str">
        <f t="shared" si="4"/>
        <v>JOINT POUR ASSEMBLAGE OMBRIERES 12m</v>
      </c>
      <c r="B122" s="20" t="s">
        <v>136</v>
      </c>
      <c r="C122" s="553" t="s">
        <v>140</v>
      </c>
      <c r="D122" s="553" t="s">
        <v>1141</v>
      </c>
      <c r="E122" s="409" t="s">
        <v>320</v>
      </c>
      <c r="F122" s="20" t="s">
        <v>320</v>
      </c>
    </row>
    <row r="123" spans="1:6">
      <c r="A123" s="20" t="str">
        <f t="shared" si="4"/>
        <v>LOT DE 4 ECLISSES DE BANDEAU</v>
      </c>
      <c r="B123" s="20" t="s">
        <v>383</v>
      </c>
      <c r="C123" s="553" t="s">
        <v>384</v>
      </c>
      <c r="D123" s="553" t="s">
        <v>1142</v>
      </c>
      <c r="E123" s="409"/>
      <c r="F123" s="20"/>
    </row>
    <row r="124" spans="1:6">
      <c r="A124" s="20" t="str">
        <f t="shared" si="4"/>
        <v>Embases Pieds</v>
      </c>
      <c r="B124" s="20" t="s">
        <v>1837</v>
      </c>
      <c r="C124" s="553" t="s">
        <v>1865</v>
      </c>
      <c r="D124" s="553" t="s">
        <v>1866</v>
      </c>
      <c r="E124" s="409" t="s">
        <v>1838</v>
      </c>
      <c r="F124" s="20" t="s">
        <v>321</v>
      </c>
    </row>
    <row r="125" spans="1:6">
      <c r="A125" s="20" t="str">
        <f t="shared" si="4"/>
        <v>Kit Led en ruban + ALIM+recepteur + telecommande inclus</v>
      </c>
      <c r="B125" s="87" t="s">
        <v>1084</v>
      </c>
      <c r="C125" s="553" t="s">
        <v>1085</v>
      </c>
      <c r="D125" s="553" t="s">
        <v>1086</v>
      </c>
      <c r="E125" s="409" t="s">
        <v>1087</v>
      </c>
      <c r="F125" s="20" t="s">
        <v>1087</v>
      </c>
    </row>
    <row r="126" spans="1:6" ht="15" customHeight="1">
      <c r="A126" s="20" t="str">
        <f t="shared" si="4"/>
        <v>Option Bioclimatique</v>
      </c>
      <c r="B126" s="20" t="s">
        <v>469</v>
      </c>
      <c r="C126" s="553" t="s">
        <v>857</v>
      </c>
      <c r="D126" s="553" t="s">
        <v>928</v>
      </c>
      <c r="E126" s="409"/>
      <c r="F126" s="20"/>
    </row>
    <row r="127" spans="1:6" ht="15" customHeight="1">
      <c r="A127" s="20" t="str">
        <f t="shared" si="4"/>
        <v>Nombre de lignes option bioclimatique</v>
      </c>
      <c r="B127" s="20" t="s">
        <v>817</v>
      </c>
      <c r="C127" s="553" t="s">
        <v>858</v>
      </c>
      <c r="D127" s="553" t="s">
        <v>929</v>
      </c>
      <c r="E127" s="409"/>
      <c r="F127" s="20"/>
    </row>
    <row r="128" spans="1:6" ht="15" customHeight="1">
      <c r="A128" s="20" t="str">
        <f t="shared" si="4"/>
        <v>Choix couleur bioclimatique</v>
      </c>
      <c r="B128" s="20" t="s">
        <v>462</v>
      </c>
      <c r="C128" s="553" t="s">
        <v>859</v>
      </c>
      <c r="D128" s="553" t="s">
        <v>930</v>
      </c>
      <c r="E128" s="409"/>
      <c r="F128" s="20"/>
    </row>
    <row r="129" spans="1:6" ht="15" customHeight="1">
      <c r="A129" s="20" t="str">
        <f t="shared" si="4"/>
        <v>kit de fixation de sous face</v>
      </c>
      <c r="B129" s="88" t="s">
        <v>699</v>
      </c>
      <c r="C129" s="553" t="s">
        <v>860</v>
      </c>
      <c r="D129" s="553" t="s">
        <v>931</v>
      </c>
      <c r="E129" s="409"/>
      <c r="F129" s="20"/>
    </row>
    <row r="130" spans="1:6" ht="15" customHeight="1">
      <c r="A130" s="20" t="str">
        <f t="shared" si="4"/>
        <v>kit de déport des pieds + évacuation d'eau  (2 pieds maximum)</v>
      </c>
      <c r="B130" s="88" t="s">
        <v>713</v>
      </c>
      <c r="C130" s="553" t="s">
        <v>949</v>
      </c>
      <c r="D130" s="553" t="s">
        <v>1917</v>
      </c>
      <c r="E130" s="409"/>
      <c r="F130" s="20"/>
    </row>
    <row r="131" spans="1:6" ht="15" customHeight="1">
      <c r="A131" s="86" t="str">
        <f t="shared" si="4"/>
        <v>Nombre de lignes de panneaux photovoltaiques</v>
      </c>
      <c r="B131" s="89" t="s">
        <v>812</v>
      </c>
      <c r="C131" s="553" t="s">
        <v>950</v>
      </c>
      <c r="D131" s="553" t="s">
        <v>932</v>
      </c>
      <c r="E131" s="409"/>
      <c r="F131" s="20"/>
    </row>
    <row r="132" spans="1:6" ht="15" customHeight="1">
      <c r="A132" s="86" t="str">
        <f t="shared" si="4"/>
        <v>option kit Led : 4 spots  + alim + récepteur + télécommande</v>
      </c>
      <c r="B132" s="87" t="s">
        <v>632</v>
      </c>
      <c r="C132" s="553" t="s">
        <v>861</v>
      </c>
      <c r="D132" s="553" t="s">
        <v>933</v>
      </c>
      <c r="E132" s="409"/>
      <c r="F132" s="20"/>
    </row>
    <row r="133" spans="1:6" ht="15" customHeight="1">
      <c r="A133" s="86" t="str">
        <f t="shared" si="4"/>
        <v>2 Spots supplémentaires</v>
      </c>
      <c r="B133" s="87" t="s">
        <v>813</v>
      </c>
      <c r="C133" s="553" t="s">
        <v>862</v>
      </c>
      <c r="D133" s="553" t="s">
        <v>934</v>
      </c>
      <c r="E133" s="409"/>
      <c r="F133" s="20"/>
    </row>
    <row r="134" spans="1:6" ht="15" customHeight="1">
      <c r="A134" s="86" t="str">
        <f t="shared" si="4"/>
        <v>Option Screen latéral*</v>
      </c>
      <c r="B134" s="87" t="s">
        <v>1921</v>
      </c>
      <c r="C134" s="553" t="s">
        <v>1922</v>
      </c>
      <c r="D134" s="553" t="s">
        <v>1923</v>
      </c>
      <c r="E134" s="409"/>
      <c r="F134" s="20"/>
    </row>
    <row r="135" spans="1:6" ht="15" customHeight="1">
      <c r="A135" s="86" t="str">
        <f t="shared" si="4"/>
        <v>Option Screen avant ou arrièrre*</v>
      </c>
      <c r="B135" s="87" t="s">
        <v>1926</v>
      </c>
      <c r="C135" s="553" t="s">
        <v>1925</v>
      </c>
      <c r="D135" s="553" t="s">
        <v>1924</v>
      </c>
      <c r="E135" s="409"/>
      <c r="F135" s="20"/>
    </row>
    <row r="136" spans="1:6" ht="15" customHeight="1">
      <c r="A136" s="86" t="str">
        <f t="shared" si="4"/>
        <v>Nombre de Screen latéral</v>
      </c>
      <c r="B136" s="87" t="s">
        <v>633</v>
      </c>
      <c r="C136" s="553" t="s">
        <v>863</v>
      </c>
      <c r="D136" s="553" t="s">
        <v>935</v>
      </c>
      <c r="E136" s="409"/>
      <c r="F136" s="20"/>
    </row>
    <row r="137" spans="1:6" ht="15" customHeight="1">
      <c r="A137" s="86" t="str">
        <f t="shared" si="4"/>
        <v>Nombre de Screen avant ou arrièrre</v>
      </c>
      <c r="B137" s="87" t="s">
        <v>634</v>
      </c>
      <c r="C137" s="553" t="s">
        <v>864</v>
      </c>
      <c r="D137" s="553" t="s">
        <v>936</v>
      </c>
      <c r="E137" s="409"/>
      <c r="F137" s="20"/>
    </row>
    <row r="138" spans="1:6" ht="15" customHeight="1">
      <c r="A138" s="86" t="str">
        <f t="shared" si="4"/>
        <v>Screen(s) latéral(aux)</v>
      </c>
      <c r="B138" s="87" t="s">
        <v>639</v>
      </c>
      <c r="C138" s="553" t="s">
        <v>865</v>
      </c>
      <c r="D138" s="553" t="s">
        <v>937</v>
      </c>
      <c r="E138" s="409"/>
      <c r="F138" s="20"/>
    </row>
    <row r="139" spans="1:6" ht="15" customHeight="1">
      <c r="A139" s="86" t="str">
        <f t="shared" si="4"/>
        <v>Screen(s) avant ou arrière</v>
      </c>
      <c r="B139" s="87" t="s">
        <v>640</v>
      </c>
      <c r="C139" s="553" t="s">
        <v>866</v>
      </c>
      <c r="D139" s="553" t="s">
        <v>938</v>
      </c>
      <c r="E139" s="409"/>
      <c r="F139" s="20"/>
    </row>
    <row r="140" spans="1:6" ht="15" customHeight="1">
      <c r="A140" s="20" t="str">
        <f t="shared" si="4"/>
        <v>Quantité option Assemblage latéral ombrière</v>
      </c>
      <c r="B140" s="20" t="s">
        <v>493</v>
      </c>
      <c r="C140" s="553" t="s">
        <v>867</v>
      </c>
      <c r="D140" s="553" t="s">
        <v>939</v>
      </c>
      <c r="E140" s="409" t="s">
        <v>322</v>
      </c>
      <c r="F140" s="20" t="s">
        <v>322</v>
      </c>
    </row>
    <row r="141" spans="1:6" ht="15" customHeight="1">
      <c r="A141" s="20" t="str">
        <f t="shared" si="4"/>
        <v>Prix total après remise €HT</v>
      </c>
      <c r="B141" s="20" t="s">
        <v>133</v>
      </c>
      <c r="C141" s="410" t="s">
        <v>138</v>
      </c>
      <c r="D141" s="410" t="s">
        <v>940</v>
      </c>
      <c r="E141" s="409" t="s">
        <v>294</v>
      </c>
      <c r="F141" s="20" t="s">
        <v>294</v>
      </c>
    </row>
    <row r="142" spans="1:6">
      <c r="A142" s="20" t="str">
        <f t="shared" si="4"/>
        <v>KIT Assemblage</v>
      </c>
      <c r="B142" s="20" t="s">
        <v>139</v>
      </c>
      <c r="C142" s="553" t="s">
        <v>141</v>
      </c>
      <c r="D142" s="553" t="s">
        <v>941</v>
      </c>
      <c r="E142" s="409" t="s">
        <v>323</v>
      </c>
      <c r="F142" s="20" t="s">
        <v>323</v>
      </c>
    </row>
    <row r="143" spans="1:6">
      <c r="A143" s="20" t="str">
        <f t="shared" si="4"/>
        <v>Complément</v>
      </c>
      <c r="B143" s="20" t="s">
        <v>142</v>
      </c>
      <c r="C143" s="553" t="s">
        <v>143</v>
      </c>
      <c r="D143" s="553" t="s">
        <v>1143</v>
      </c>
      <c r="E143" s="409" t="s">
        <v>295</v>
      </c>
      <c r="F143" s="20" t="s">
        <v>295</v>
      </c>
    </row>
    <row r="144" spans="1:6">
      <c r="A144" s="20" t="str">
        <f t="shared" ref="A144:A175" si="5">INDEX(B144:F144,$B$1)</f>
        <v>Assemblage latéral (face aux modules à droite et à gauche )</v>
      </c>
      <c r="B144" s="20" t="s">
        <v>671</v>
      </c>
      <c r="C144" s="553" t="s">
        <v>1868</v>
      </c>
      <c r="D144" s="553" t="s">
        <v>1867</v>
      </c>
      <c r="E144" s="409" t="s">
        <v>296</v>
      </c>
      <c r="F144" s="20" t="s">
        <v>296</v>
      </c>
    </row>
    <row r="145" spans="1:6">
      <c r="A145" s="20" t="str">
        <f t="shared" si="5"/>
        <v>Voir onglet Assemblage</v>
      </c>
      <c r="B145" s="57" t="s">
        <v>153</v>
      </c>
      <c r="C145" s="553" t="s">
        <v>154</v>
      </c>
      <c r="D145" s="553" t="s">
        <v>1144</v>
      </c>
      <c r="E145" s="409" t="s">
        <v>297</v>
      </c>
      <c r="F145" s="20" t="s">
        <v>297</v>
      </c>
    </row>
    <row r="146" spans="1:6">
      <c r="A146" s="20" t="str">
        <f t="shared" si="5"/>
        <v>Réalisation d'assemblage</v>
      </c>
      <c r="B146" s="20" t="s">
        <v>148</v>
      </c>
      <c r="C146" s="553" t="s">
        <v>155</v>
      </c>
      <c r="D146" s="553" t="s">
        <v>1145</v>
      </c>
      <c r="E146" s="409" t="s">
        <v>324</v>
      </c>
      <c r="F146" s="20" t="s">
        <v>324</v>
      </c>
    </row>
    <row r="147" spans="1:6">
      <c r="A147" s="20" t="str">
        <f t="shared" si="5"/>
        <v>Nb Liaisons</v>
      </c>
      <c r="B147" s="20" t="s">
        <v>814</v>
      </c>
      <c r="C147" s="553" t="s">
        <v>156</v>
      </c>
      <c r="D147" s="553" t="s">
        <v>1146</v>
      </c>
      <c r="E147" s="409" t="s">
        <v>325</v>
      </c>
      <c r="F147" s="20" t="s">
        <v>325</v>
      </c>
    </row>
    <row r="148" spans="1:6">
      <c r="A148" s="20" t="str">
        <f t="shared" si="5"/>
        <v>Synthèse de l'assemblage</v>
      </c>
      <c r="B148" s="20" t="s">
        <v>492</v>
      </c>
      <c r="C148" s="553" t="s">
        <v>157</v>
      </c>
      <c r="D148" s="553" t="s">
        <v>1147</v>
      </c>
      <c r="E148" s="409" t="s">
        <v>326</v>
      </c>
      <c r="F148" s="20" t="s">
        <v>326</v>
      </c>
    </row>
    <row r="149" spans="1:6">
      <c r="A149" s="20" t="str">
        <f t="shared" si="5"/>
        <v>PIEDS (lot de 2) 3500 7016</v>
      </c>
      <c r="B149" s="29" t="s">
        <v>159</v>
      </c>
      <c r="C149" s="413" t="s">
        <v>160</v>
      </c>
      <c r="D149" s="413" t="s">
        <v>1148</v>
      </c>
      <c r="E149" s="413" t="s">
        <v>327</v>
      </c>
      <c r="F149" s="29" t="s">
        <v>327</v>
      </c>
    </row>
    <row r="150" spans="1:6">
      <c r="A150" s="20" t="str">
        <f t="shared" si="5"/>
        <v>Rajout Câbles de liaisons</v>
      </c>
      <c r="B150" s="29" t="s">
        <v>682</v>
      </c>
      <c r="C150" s="413" t="s">
        <v>951</v>
      </c>
      <c r="D150" s="554" t="s">
        <v>1149</v>
      </c>
      <c r="E150" s="413"/>
      <c r="F150" s="29"/>
    </row>
    <row r="151" spans="1:6">
      <c r="A151" s="20" t="str">
        <f t="shared" si="5"/>
        <v>Longueur de pied (mm)</v>
      </c>
      <c r="B151" s="22" t="s">
        <v>815</v>
      </c>
      <c r="C151" s="411" t="s">
        <v>161</v>
      </c>
      <c r="D151" s="411" t="s">
        <v>1150</v>
      </c>
      <c r="E151" s="409" t="s">
        <v>328</v>
      </c>
      <c r="F151" s="20" t="s">
        <v>328</v>
      </c>
    </row>
    <row r="152" spans="1:6">
      <c r="A152" s="348" t="str">
        <f t="shared" si="5"/>
        <v>PIEDS (lot de 2) 3500 9010</v>
      </c>
      <c r="B152" s="345" t="s">
        <v>162</v>
      </c>
      <c r="C152" s="416" t="s">
        <v>163</v>
      </c>
      <c r="D152" s="416" t="s">
        <v>1151</v>
      </c>
      <c r="E152" s="416" t="s">
        <v>329</v>
      </c>
      <c r="F152" s="345" t="s">
        <v>329</v>
      </c>
    </row>
    <row r="153" spans="1:6">
      <c r="A153" s="348" t="str">
        <f t="shared" si="5"/>
        <v>PIEDS (lot de 2) 3500 XXXX</v>
      </c>
      <c r="B153" s="345" t="s">
        <v>158</v>
      </c>
      <c r="C153" s="416" t="s">
        <v>164</v>
      </c>
      <c r="D153" s="416" t="s">
        <v>1152</v>
      </c>
      <c r="E153" s="416" t="s">
        <v>330</v>
      </c>
      <c r="F153" s="345" t="s">
        <v>330</v>
      </c>
    </row>
    <row r="154" spans="1:6">
      <c r="A154" s="348" t="str">
        <f t="shared" si="5"/>
        <v>Ajouter le code couleur à la référence (9010 ou 7016 ou 7016M ou ….)</v>
      </c>
      <c r="B154" s="345" t="s">
        <v>213</v>
      </c>
      <c r="C154" s="417" t="s">
        <v>229</v>
      </c>
      <c r="D154" s="417" t="s">
        <v>1153</v>
      </c>
      <c r="E154" s="418" t="s">
        <v>331</v>
      </c>
      <c r="F154" s="348" t="s">
        <v>331</v>
      </c>
    </row>
    <row r="155" spans="1:6">
      <c r="A155" s="348" t="str">
        <f t="shared" si="5"/>
        <v>Si besoin d'une palette suppplémentaire, ajout d'un forfait de 50€ pour l'emballage.</v>
      </c>
      <c r="B155" s="345" t="s">
        <v>228</v>
      </c>
      <c r="C155" s="417" t="s">
        <v>230</v>
      </c>
      <c r="D155" s="417" t="s">
        <v>1154</v>
      </c>
      <c r="E155" s="418" t="s">
        <v>332</v>
      </c>
      <c r="F155" s="348" t="s">
        <v>332</v>
      </c>
    </row>
    <row r="156" spans="1:6">
      <c r="A156" s="348" t="str">
        <f t="shared" si="5"/>
        <v>Erreur</v>
      </c>
      <c r="B156" s="345" t="s">
        <v>232</v>
      </c>
      <c r="C156" s="417" t="s">
        <v>233</v>
      </c>
      <c r="D156" s="417" t="s">
        <v>1155</v>
      </c>
      <c r="E156" s="417" t="s">
        <v>333</v>
      </c>
      <c r="F156" s="346" t="s">
        <v>333</v>
      </c>
    </row>
    <row r="157" spans="1:6">
      <c r="A157" s="348" t="str">
        <f t="shared" si="5"/>
        <v>Nb liaison latérale</v>
      </c>
      <c r="B157" s="345" t="s">
        <v>234</v>
      </c>
      <c r="C157" s="417" t="s">
        <v>238</v>
      </c>
      <c r="D157" s="417" t="s">
        <v>1156</v>
      </c>
      <c r="E157" s="417" t="s">
        <v>344</v>
      </c>
      <c r="F157" s="346" t="s">
        <v>344</v>
      </c>
    </row>
    <row r="158" spans="1:6">
      <c r="A158" s="348" t="str">
        <f t="shared" si="5"/>
        <v>Nb Liaison x2</v>
      </c>
      <c r="B158" s="354" t="s">
        <v>165</v>
      </c>
      <c r="C158" s="417" t="s">
        <v>239</v>
      </c>
      <c r="D158" s="417" t="s">
        <v>1157</v>
      </c>
      <c r="E158" s="417" t="s">
        <v>334</v>
      </c>
      <c r="F158" s="346" t="s">
        <v>334</v>
      </c>
    </row>
    <row r="159" spans="1:6">
      <c r="A159" s="348" t="str">
        <f t="shared" si="5"/>
        <v>Nb Liaison x3</v>
      </c>
      <c r="B159" s="354" t="s">
        <v>166</v>
      </c>
      <c r="C159" s="417" t="s">
        <v>240</v>
      </c>
      <c r="D159" s="417" t="s">
        <v>1158</v>
      </c>
      <c r="E159" s="417" t="s">
        <v>335</v>
      </c>
      <c r="F159" s="346" t="s">
        <v>335</v>
      </c>
    </row>
    <row r="160" spans="1:6">
      <c r="A160" s="20" t="str">
        <f t="shared" si="5"/>
        <v>Nombre de pieds</v>
      </c>
      <c r="B160" s="70" t="s">
        <v>655</v>
      </c>
      <c r="C160" s="410" t="s">
        <v>241</v>
      </c>
      <c r="D160" s="410" t="s">
        <v>1159</v>
      </c>
      <c r="E160" s="410" t="s">
        <v>336</v>
      </c>
      <c r="F160" s="21" t="s">
        <v>336</v>
      </c>
    </row>
    <row r="161" spans="1:6">
      <c r="A161" s="20" t="str">
        <f t="shared" si="5"/>
        <v>Nb Pieds 2ème ligne</v>
      </c>
      <c r="B161" s="70" t="s">
        <v>818</v>
      </c>
      <c r="C161" s="410" t="s">
        <v>242</v>
      </c>
      <c r="D161" s="410" t="s">
        <v>1160</v>
      </c>
      <c r="E161" s="410" t="s">
        <v>337</v>
      </c>
      <c r="F161" s="21" t="s">
        <v>337</v>
      </c>
    </row>
    <row r="162" spans="1:6">
      <c r="A162" s="20" t="str">
        <f t="shared" si="5"/>
        <v>Nombre total de paires de pieds</v>
      </c>
      <c r="B162" s="70" t="s">
        <v>816</v>
      </c>
      <c r="C162" s="410" t="s">
        <v>868</v>
      </c>
      <c r="D162" s="410" t="s">
        <v>942</v>
      </c>
      <c r="E162" s="410"/>
      <c r="F162" s="21"/>
    </row>
    <row r="163" spans="1:6">
      <c r="A163" s="348" t="str">
        <f t="shared" si="5"/>
        <v>Nb d'embase 1er ligne</v>
      </c>
      <c r="B163" s="354" t="s">
        <v>235</v>
      </c>
      <c r="C163" s="552" t="s">
        <v>243</v>
      </c>
      <c r="D163" s="552" t="s">
        <v>1159</v>
      </c>
      <c r="E163" s="418" t="s">
        <v>342</v>
      </c>
      <c r="F163" s="348" t="s">
        <v>342</v>
      </c>
    </row>
    <row r="164" spans="1:6">
      <c r="A164" s="348" t="str">
        <f t="shared" si="5"/>
        <v>Nb d'embase 2e ligne</v>
      </c>
      <c r="B164" s="347" t="s">
        <v>236</v>
      </c>
      <c r="C164" s="552" t="s">
        <v>244</v>
      </c>
      <c r="D164" s="552" t="s">
        <v>1160</v>
      </c>
      <c r="E164" s="418" t="s">
        <v>343</v>
      </c>
      <c r="F164" s="348" t="s">
        <v>343</v>
      </c>
    </row>
    <row r="165" spans="1:6">
      <c r="A165" s="348" t="str">
        <f t="shared" si="5"/>
        <v>Ligne 1</v>
      </c>
      <c r="B165" s="355" t="s">
        <v>167</v>
      </c>
      <c r="C165" s="417" t="s">
        <v>245</v>
      </c>
      <c r="D165" s="417" t="s">
        <v>1161</v>
      </c>
      <c r="E165" s="417" t="s">
        <v>338</v>
      </c>
      <c r="F165" s="346" t="s">
        <v>338</v>
      </c>
    </row>
    <row r="166" spans="1:6">
      <c r="A166" s="348" t="str">
        <f t="shared" si="5"/>
        <v>Ligne 2</v>
      </c>
      <c r="B166" s="355" t="s">
        <v>168</v>
      </c>
      <c r="C166" s="417" t="s">
        <v>246</v>
      </c>
      <c r="D166" s="417" t="s">
        <v>1162</v>
      </c>
      <c r="E166" s="417" t="s">
        <v>339</v>
      </c>
      <c r="F166" s="346" t="s">
        <v>339</v>
      </c>
    </row>
    <row r="167" spans="1:6">
      <c r="A167" s="348" t="str">
        <f t="shared" si="5"/>
        <v>Total</v>
      </c>
      <c r="B167" s="355" t="s">
        <v>169</v>
      </c>
      <c r="C167" s="417" t="s">
        <v>169</v>
      </c>
      <c r="D167" s="417" t="s">
        <v>1163</v>
      </c>
      <c r="E167" s="417" t="s">
        <v>169</v>
      </c>
      <c r="F167" s="346" t="s">
        <v>169</v>
      </c>
    </row>
    <row r="168" spans="1:6">
      <c r="A168" s="348" t="str">
        <f t="shared" si="5"/>
        <v>Version 4 p</v>
      </c>
      <c r="B168" s="355" t="s">
        <v>237</v>
      </c>
      <c r="C168" s="417" t="s">
        <v>247</v>
      </c>
      <c r="D168" s="417" t="s">
        <v>1164</v>
      </c>
      <c r="E168" s="417" t="s">
        <v>341</v>
      </c>
      <c r="F168" s="346" t="s">
        <v>341</v>
      </c>
    </row>
    <row r="169" spans="1:6">
      <c r="A169" s="348" t="str">
        <f t="shared" si="5"/>
        <v>Nbre Shadow/ligne</v>
      </c>
      <c r="B169" s="355" t="s">
        <v>170</v>
      </c>
      <c r="C169" s="417" t="s">
        <v>248</v>
      </c>
      <c r="D169" s="417" t="s">
        <v>1165</v>
      </c>
      <c r="E169" s="417" t="s">
        <v>340</v>
      </c>
      <c r="F169" s="346" t="s">
        <v>340</v>
      </c>
    </row>
    <row r="170" spans="1:6">
      <c r="A170" s="348" t="str">
        <f t="shared" si="5"/>
        <v>CANIVEAU 2x</v>
      </c>
      <c r="B170" s="345" t="s">
        <v>172</v>
      </c>
      <c r="C170" s="417" t="s">
        <v>345</v>
      </c>
      <c r="D170" s="417" t="s">
        <v>1166</v>
      </c>
      <c r="E170" s="418" t="s">
        <v>364</v>
      </c>
      <c r="F170" s="348" t="s">
        <v>364</v>
      </c>
    </row>
    <row r="171" spans="1:6">
      <c r="A171" s="348" t="str">
        <f t="shared" si="5"/>
        <v>CANIVEAU 3x</v>
      </c>
      <c r="B171" s="345" t="s">
        <v>173</v>
      </c>
      <c r="C171" s="417" t="s">
        <v>346</v>
      </c>
      <c r="D171" s="417" t="s">
        <v>1167</v>
      </c>
      <c r="E171" s="418" t="s">
        <v>365</v>
      </c>
      <c r="F171" s="348" t="s">
        <v>365</v>
      </c>
    </row>
    <row r="172" spans="1:6">
      <c r="A172" s="348" t="str">
        <f t="shared" si="5"/>
        <v>CANIVEAU 4x</v>
      </c>
      <c r="B172" s="348" t="s">
        <v>174</v>
      </c>
      <c r="C172" s="552" t="s">
        <v>347</v>
      </c>
      <c r="D172" s="552" t="s">
        <v>1168</v>
      </c>
      <c r="E172" s="418" t="s">
        <v>366</v>
      </c>
      <c r="F172" s="348" t="s">
        <v>366</v>
      </c>
    </row>
    <row r="173" spans="1:6">
      <c r="A173" s="348" t="str">
        <f t="shared" si="5"/>
        <v>GOULOTTE AVANT x2</v>
      </c>
      <c r="B173" s="345" t="s">
        <v>177</v>
      </c>
      <c r="C173" s="417" t="s">
        <v>348</v>
      </c>
      <c r="D173" s="417" t="s">
        <v>348</v>
      </c>
      <c r="E173" s="418" t="s">
        <v>367</v>
      </c>
      <c r="F173" s="348" t="s">
        <v>367</v>
      </c>
    </row>
    <row r="174" spans="1:6">
      <c r="A174" s="348" t="str">
        <f t="shared" si="5"/>
        <v>GOULOTTE AVANT x3</v>
      </c>
      <c r="B174" s="345" t="s">
        <v>178</v>
      </c>
      <c r="C174" s="417" t="s">
        <v>349</v>
      </c>
      <c r="D174" s="417" t="s">
        <v>1169</v>
      </c>
      <c r="E174" s="418" t="s">
        <v>368</v>
      </c>
      <c r="F174" s="348" t="s">
        <v>368</v>
      </c>
    </row>
    <row r="175" spans="1:6">
      <c r="A175" s="348" t="str">
        <f t="shared" si="5"/>
        <v>GOULOTTE ARRIERE x2</v>
      </c>
      <c r="B175" s="345" t="s">
        <v>179</v>
      </c>
      <c r="C175" s="417" t="s">
        <v>350</v>
      </c>
      <c r="D175" s="417" t="s">
        <v>350</v>
      </c>
      <c r="E175" s="418" t="s">
        <v>369</v>
      </c>
      <c r="F175" s="348" t="s">
        <v>369</v>
      </c>
    </row>
    <row r="176" spans="1:6">
      <c r="A176" s="348" t="str">
        <f t="shared" ref="A176:A207" si="6">INDEX(B176:F176,$B$1)</f>
        <v>GOULOTTE ARRIERE x3</v>
      </c>
      <c r="B176" s="345" t="s">
        <v>180</v>
      </c>
      <c r="C176" s="417" t="s">
        <v>351</v>
      </c>
      <c r="D176" s="417" t="s">
        <v>351</v>
      </c>
      <c r="E176" s="418" t="s">
        <v>370</v>
      </c>
      <c r="F176" s="348" t="s">
        <v>370</v>
      </c>
    </row>
    <row r="177" spans="1:6">
      <c r="A177" s="348" t="str">
        <f t="shared" si="6"/>
        <v>SPOILER x2</v>
      </c>
      <c r="B177" s="345" t="s">
        <v>181</v>
      </c>
      <c r="C177" s="416" t="s">
        <v>181</v>
      </c>
      <c r="D177" s="416" t="s">
        <v>181</v>
      </c>
      <c r="E177" s="416" t="s">
        <v>181</v>
      </c>
      <c r="F177" s="345" t="s">
        <v>181</v>
      </c>
    </row>
    <row r="178" spans="1:6">
      <c r="A178" s="348" t="str">
        <f t="shared" si="6"/>
        <v>SPOILER x3</v>
      </c>
      <c r="B178" s="345" t="s">
        <v>182</v>
      </c>
      <c r="C178" s="416" t="s">
        <v>182</v>
      </c>
      <c r="D178" s="416" t="s">
        <v>182</v>
      </c>
      <c r="E178" s="416" t="s">
        <v>182</v>
      </c>
      <c r="F178" s="345" t="s">
        <v>182</v>
      </c>
    </row>
    <row r="179" spans="1:6">
      <c r="A179" s="348" t="str">
        <f t="shared" si="6"/>
        <v>ASS.SPOILER x2</v>
      </c>
      <c r="B179" s="345" t="s">
        <v>183</v>
      </c>
      <c r="C179" s="416" t="s">
        <v>183</v>
      </c>
      <c r="D179" s="416" t="s">
        <v>1170</v>
      </c>
      <c r="E179" s="416" t="s">
        <v>183</v>
      </c>
      <c r="F179" s="345" t="s">
        <v>183</v>
      </c>
    </row>
    <row r="180" spans="1:6">
      <c r="A180" s="348" t="str">
        <f t="shared" si="6"/>
        <v>ASS.SPOILER x3</v>
      </c>
      <c r="B180" s="345" t="s">
        <v>184</v>
      </c>
      <c r="C180" s="416" t="s">
        <v>184</v>
      </c>
      <c r="D180" s="416" t="s">
        <v>1171</v>
      </c>
      <c r="E180" s="416" t="s">
        <v>184</v>
      </c>
      <c r="F180" s="345" t="s">
        <v>184</v>
      </c>
    </row>
    <row r="181" spans="1:6">
      <c r="A181" s="348" t="str">
        <f t="shared" si="6"/>
        <v>U ETANCHEITE INTER RANGEES x2</v>
      </c>
      <c r="B181" s="348" t="s">
        <v>185</v>
      </c>
      <c r="C181" s="416" t="s">
        <v>352</v>
      </c>
      <c r="D181" s="416" t="s">
        <v>1172</v>
      </c>
      <c r="E181" s="416" t="s">
        <v>371</v>
      </c>
      <c r="F181" s="345" t="s">
        <v>371</v>
      </c>
    </row>
    <row r="182" spans="1:6">
      <c r="A182" s="348" t="str">
        <f t="shared" si="6"/>
        <v>U ETANCHEITE INTER RANGEES x3</v>
      </c>
      <c r="B182" s="348" t="s">
        <v>186</v>
      </c>
      <c r="C182" s="552" t="s">
        <v>353</v>
      </c>
      <c r="D182" s="552" t="s">
        <v>1173</v>
      </c>
      <c r="E182" s="416" t="s">
        <v>372</v>
      </c>
      <c r="F182" s="345" t="s">
        <v>372</v>
      </c>
    </row>
    <row r="183" spans="1:6">
      <c r="A183" s="348" t="str">
        <f t="shared" si="6"/>
        <v>U ETANCHEITE INTER MODULE</v>
      </c>
      <c r="B183" s="348" t="s">
        <v>187</v>
      </c>
      <c r="C183" s="552" t="s">
        <v>354</v>
      </c>
      <c r="D183" s="552" t="s">
        <v>1174</v>
      </c>
      <c r="E183" s="416" t="s">
        <v>373</v>
      </c>
      <c r="F183" s="345" t="s">
        <v>373</v>
      </c>
    </row>
    <row r="184" spans="1:6">
      <c r="A184" s="348" t="str">
        <f t="shared" si="6"/>
        <v>CALLE SERRE PANNEAU</v>
      </c>
      <c r="B184" s="348" t="s">
        <v>188</v>
      </c>
      <c r="C184" s="416" t="s">
        <v>355</v>
      </c>
      <c r="D184" s="416" t="s">
        <v>1175</v>
      </c>
      <c r="E184" s="416" t="s">
        <v>374</v>
      </c>
      <c r="F184" s="345" t="s">
        <v>374</v>
      </c>
    </row>
    <row r="185" spans="1:6">
      <c r="A185" s="348" t="str">
        <f t="shared" si="6"/>
        <v>FERMETURE SPOILER</v>
      </c>
      <c r="B185" s="348" t="s">
        <v>189</v>
      </c>
      <c r="C185" s="416" t="s">
        <v>356</v>
      </c>
      <c r="D185" s="416" t="s">
        <v>1176</v>
      </c>
      <c r="E185" s="416" t="s">
        <v>375</v>
      </c>
      <c r="F185" s="345" t="s">
        <v>375</v>
      </c>
    </row>
    <row r="186" spans="1:6">
      <c r="A186" s="348" t="str">
        <f t="shared" si="6"/>
        <v>PLAQUE DE JOINT ETANCHEITE</v>
      </c>
      <c r="B186" s="348" t="s">
        <v>190</v>
      </c>
      <c r="C186" s="416" t="s">
        <v>357</v>
      </c>
      <c r="D186" s="416" t="s">
        <v>1177</v>
      </c>
      <c r="E186" s="416" t="s">
        <v>376</v>
      </c>
      <c r="F186" s="345" t="s">
        <v>376</v>
      </c>
    </row>
    <row r="187" spans="1:6">
      <c r="A187" s="348" t="str">
        <f t="shared" si="6"/>
        <v>PLAQUE EQUERRAGE</v>
      </c>
      <c r="B187" s="348" t="s">
        <v>191</v>
      </c>
      <c r="C187" s="416" t="s">
        <v>358</v>
      </c>
      <c r="D187" s="416" t="s">
        <v>1178</v>
      </c>
      <c r="E187" s="416" t="s">
        <v>377</v>
      </c>
      <c r="F187" s="345" t="s">
        <v>377</v>
      </c>
    </row>
    <row r="188" spans="1:6">
      <c r="A188" s="348" t="str">
        <f t="shared" si="6"/>
        <v>SORTIE DE CANIVEAU</v>
      </c>
      <c r="B188" s="348" t="s">
        <v>192</v>
      </c>
      <c r="C188" s="416" t="s">
        <v>359</v>
      </c>
      <c r="D188" s="416" t="s">
        <v>1179</v>
      </c>
      <c r="E188" s="416" t="s">
        <v>378</v>
      </c>
      <c r="F188" s="345" t="s">
        <v>378</v>
      </c>
    </row>
    <row r="189" spans="1:6">
      <c r="A189" s="348" t="str">
        <f t="shared" si="6"/>
        <v>COMPRIBANDE TRS 15/1-3</v>
      </c>
      <c r="B189" s="348" t="s">
        <v>193</v>
      </c>
      <c r="C189" s="552" t="s">
        <v>361</v>
      </c>
      <c r="D189" s="552" t="s">
        <v>1180</v>
      </c>
      <c r="E189" s="416" t="s">
        <v>379</v>
      </c>
      <c r="F189" s="345" t="s">
        <v>379</v>
      </c>
    </row>
    <row r="190" spans="1:6">
      <c r="A190" s="348" t="str">
        <f t="shared" si="6"/>
        <v>OUTILLAGE DE MONTAGE</v>
      </c>
      <c r="B190" s="348" t="s">
        <v>194</v>
      </c>
      <c r="C190" s="416" t="s">
        <v>360</v>
      </c>
      <c r="D190" s="416" t="s">
        <v>1181</v>
      </c>
      <c r="E190" s="416" t="s">
        <v>380</v>
      </c>
      <c r="F190" s="345" t="s">
        <v>380</v>
      </c>
    </row>
    <row r="191" spans="1:6">
      <c r="A191" s="348" t="str">
        <f t="shared" si="6"/>
        <v>FINITION LAT. LIGNE AV.+AR.</v>
      </c>
      <c r="B191" s="348" t="s">
        <v>215</v>
      </c>
      <c r="C191" s="416" t="s">
        <v>362</v>
      </c>
      <c r="D191" s="416" t="s">
        <v>1182</v>
      </c>
      <c r="E191" s="416" t="s">
        <v>381</v>
      </c>
      <c r="F191" s="345" t="s">
        <v>381</v>
      </c>
    </row>
    <row r="192" spans="1:6">
      <c r="A192" s="348" t="str">
        <f t="shared" si="6"/>
        <v>FINITION LAT. A+ 1 LIGNE</v>
      </c>
      <c r="B192" s="348" t="s">
        <v>214</v>
      </c>
      <c r="C192" s="416" t="s">
        <v>363</v>
      </c>
      <c r="D192" s="416" t="s">
        <v>1183</v>
      </c>
      <c r="E192" s="416" t="s">
        <v>382</v>
      </c>
      <c r="F192" s="345" t="s">
        <v>382</v>
      </c>
    </row>
    <row r="193" spans="1:6">
      <c r="A193" s="348" t="str">
        <f t="shared" si="6"/>
        <v>GOULOTTE AVANT x2</v>
      </c>
      <c r="B193" s="348" t="s">
        <v>177</v>
      </c>
      <c r="C193" s="417" t="s">
        <v>348</v>
      </c>
      <c r="D193" s="417" t="s">
        <v>1184</v>
      </c>
      <c r="E193" s="418" t="s">
        <v>367</v>
      </c>
      <c r="F193" s="348" t="s">
        <v>367</v>
      </c>
    </row>
    <row r="194" spans="1:6">
      <c r="A194" s="348" t="str">
        <f t="shared" si="6"/>
        <v>GOULOTTE AVANT x3</v>
      </c>
      <c r="B194" s="348" t="s">
        <v>178</v>
      </c>
      <c r="C194" s="417" t="s">
        <v>349</v>
      </c>
      <c r="D194" s="417" t="s">
        <v>1185</v>
      </c>
      <c r="E194" s="418" t="s">
        <v>368</v>
      </c>
      <c r="F194" s="348" t="s">
        <v>368</v>
      </c>
    </row>
    <row r="195" spans="1:6">
      <c r="A195" s="348" t="str">
        <f t="shared" si="6"/>
        <v>GOULOTTE ARRIERE x2</v>
      </c>
      <c r="B195" s="348" t="s">
        <v>179</v>
      </c>
      <c r="C195" s="417" t="s">
        <v>350</v>
      </c>
      <c r="D195" s="417" t="s">
        <v>1186</v>
      </c>
      <c r="E195" s="418" t="s">
        <v>369</v>
      </c>
      <c r="F195" s="348" t="s">
        <v>369</v>
      </c>
    </row>
    <row r="196" spans="1:6">
      <c r="A196" s="348" t="str">
        <f t="shared" si="6"/>
        <v>GOULOTTE ARRIERE x3</v>
      </c>
      <c r="B196" s="348" t="s">
        <v>180</v>
      </c>
      <c r="C196" s="417" t="s">
        <v>351</v>
      </c>
      <c r="D196" s="417" t="s">
        <v>1187</v>
      </c>
      <c r="E196" s="418" t="s">
        <v>370</v>
      </c>
      <c r="F196" s="348" t="s">
        <v>370</v>
      </c>
    </row>
    <row r="197" spans="1:6">
      <c r="A197" s="348" t="str">
        <f t="shared" si="6"/>
        <v>SPOILER x2</v>
      </c>
      <c r="B197" s="348" t="s">
        <v>181</v>
      </c>
      <c r="C197" s="416" t="s">
        <v>181</v>
      </c>
      <c r="D197" s="416" t="s">
        <v>181</v>
      </c>
      <c r="E197" s="416" t="s">
        <v>181</v>
      </c>
      <c r="F197" s="345" t="s">
        <v>181</v>
      </c>
    </row>
    <row r="198" spans="1:6">
      <c r="A198" s="348" t="str">
        <f t="shared" si="6"/>
        <v>SPOILER x3</v>
      </c>
      <c r="B198" s="348" t="s">
        <v>182</v>
      </c>
      <c r="C198" s="416" t="s">
        <v>182</v>
      </c>
      <c r="D198" s="416" t="s">
        <v>182</v>
      </c>
      <c r="E198" s="416" t="s">
        <v>182</v>
      </c>
      <c r="F198" s="345" t="s">
        <v>182</v>
      </c>
    </row>
    <row r="199" spans="1:6">
      <c r="A199" s="348" t="str">
        <f t="shared" si="6"/>
        <v>ASS.SPOILER x2</v>
      </c>
      <c r="B199" s="348" t="s">
        <v>183</v>
      </c>
      <c r="C199" s="416" t="s">
        <v>183</v>
      </c>
      <c r="D199" s="416" t="s">
        <v>1188</v>
      </c>
      <c r="E199" s="416" t="s">
        <v>183</v>
      </c>
      <c r="F199" s="345" t="s">
        <v>183</v>
      </c>
    </row>
    <row r="200" spans="1:6">
      <c r="A200" s="348" t="str">
        <f t="shared" si="6"/>
        <v>ASS.SPOILER x3</v>
      </c>
      <c r="B200" s="348" t="s">
        <v>184</v>
      </c>
      <c r="C200" s="416" t="s">
        <v>184</v>
      </c>
      <c r="D200" s="416" t="s">
        <v>1189</v>
      </c>
      <c r="E200" s="416" t="s">
        <v>184</v>
      </c>
      <c r="F200" s="345" t="s">
        <v>184</v>
      </c>
    </row>
    <row r="201" spans="1:6">
      <c r="A201" s="348" t="str">
        <f t="shared" si="6"/>
        <v>U ETANCHEITE INTER RANGEES x2</v>
      </c>
      <c r="B201" s="348" t="s">
        <v>185</v>
      </c>
      <c r="C201" s="416" t="s">
        <v>352</v>
      </c>
      <c r="D201" s="416" t="s">
        <v>1190</v>
      </c>
      <c r="E201" s="416" t="s">
        <v>371</v>
      </c>
      <c r="F201" s="345" t="s">
        <v>371</v>
      </c>
    </row>
    <row r="202" spans="1:6">
      <c r="A202" s="348" t="str">
        <f t="shared" si="6"/>
        <v>U ETANCHEITE INTER RANGEES x3</v>
      </c>
      <c r="B202" s="348" t="s">
        <v>186</v>
      </c>
      <c r="C202" s="552" t="s">
        <v>353</v>
      </c>
      <c r="D202" s="552" t="s">
        <v>1191</v>
      </c>
      <c r="E202" s="416" t="s">
        <v>372</v>
      </c>
      <c r="F202" s="345" t="s">
        <v>372</v>
      </c>
    </row>
    <row r="203" spans="1:6">
      <c r="A203" s="20" t="str">
        <f t="shared" si="6"/>
        <v>1/ Dans l'onglet "Definition PERGOSOLAR", renseigner les lignes.</v>
      </c>
      <c r="B203" s="20" t="s">
        <v>1721</v>
      </c>
      <c r="C203" s="553" t="s">
        <v>869</v>
      </c>
      <c r="D203" s="553" t="s">
        <v>1192</v>
      </c>
      <c r="E203" s="413"/>
      <c r="F203" s="29"/>
    </row>
    <row r="204" spans="1:6">
      <c r="A204" s="20" t="str">
        <f t="shared" si="6"/>
        <v>2/ Calcul Eurocodes.</v>
      </c>
      <c r="B204" s="20" t="s">
        <v>694</v>
      </c>
      <c r="C204" s="553" t="s">
        <v>870</v>
      </c>
      <c r="D204" s="553" t="s">
        <v>943</v>
      </c>
      <c r="E204" s="413"/>
      <c r="F204" s="29"/>
    </row>
    <row r="205" spans="1:6">
      <c r="A205" s="20" t="str">
        <f t="shared" si="6"/>
        <v>4/ Noter la remise IRFTS</v>
      </c>
      <c r="B205" s="20" t="s">
        <v>1479</v>
      </c>
      <c r="C205" s="553" t="s">
        <v>1480</v>
      </c>
      <c r="D205" s="553" t="s">
        <v>1481</v>
      </c>
      <c r="E205" s="413"/>
      <c r="F205" s="29"/>
    </row>
    <row r="206" spans="1:6">
      <c r="A206" s="20" t="str">
        <f t="shared" si="6"/>
        <v>3/Nomenclature IRFTS.</v>
      </c>
      <c r="B206" s="20" t="s">
        <v>1440</v>
      </c>
      <c r="C206" s="553" t="s">
        <v>1441</v>
      </c>
      <c r="D206" s="553" t="s">
        <v>1442</v>
      </c>
      <c r="E206" s="413"/>
      <c r="F206" s="29"/>
    </row>
    <row r="207" spans="1:6">
      <c r="A207" s="20" t="str">
        <f t="shared" si="6"/>
        <v>5/Nomenclature Distributeur.</v>
      </c>
      <c r="B207" s="20" t="s">
        <v>700</v>
      </c>
      <c r="C207" s="553" t="s">
        <v>871</v>
      </c>
      <c r="D207" s="553" t="s">
        <v>944</v>
      </c>
      <c r="E207" s="413"/>
      <c r="F207" s="29"/>
    </row>
    <row r="208" spans="1:6">
      <c r="A208" s="20" t="str">
        <f t="shared" ref="A208:A223" si="7">INDEX(B208:F208,$B$1)</f>
        <v xml:space="preserve">Livraison sur chantier </v>
      </c>
      <c r="B208" s="20" t="s">
        <v>1435</v>
      </c>
      <c r="C208" s="553" t="s">
        <v>1432</v>
      </c>
      <c r="D208" s="553" t="s">
        <v>1434</v>
      </c>
      <c r="E208" s="413"/>
      <c r="F208" s="29"/>
    </row>
    <row r="209" spans="1:6" ht="60">
      <c r="A209" s="348" t="str">
        <f t="shared" si="7"/>
        <v>1.1 Si vous utilisez des modules de dimensions comprises entre 1635 et 1676mm, compléter l'onglet "Shadow Solar 1635-1676", si vous utilisez des modules de dimensions comprises entre 1655 et 1685mm, compléter l'onglet "Shadow Solar 1655-1685"</v>
      </c>
      <c r="B209" s="356" t="s">
        <v>390</v>
      </c>
      <c r="C209" s="555" t="s">
        <v>395</v>
      </c>
      <c r="D209" s="555" t="s">
        <v>1193</v>
      </c>
      <c r="E209" s="416"/>
      <c r="F209" s="345"/>
    </row>
    <row r="210" spans="1:6" ht="45">
      <c r="A210" s="348" t="str">
        <f t="shared" si="7"/>
        <v>1.2 Si nécessaire, vous pouvez ajouter des pièces supplémentaires sur votre commande (exemple: +10) ou bien en retirer (exemple: -10) en utilisant la colonne M</v>
      </c>
      <c r="B210" s="356" t="s">
        <v>495</v>
      </c>
      <c r="C210" s="555" t="s">
        <v>396</v>
      </c>
      <c r="D210" s="555" t="s">
        <v>1194</v>
      </c>
      <c r="E210" s="416"/>
      <c r="F210" s="345"/>
    </row>
    <row r="211" spans="1:6" ht="30">
      <c r="A211" s="348" t="str">
        <f t="shared" si="7"/>
        <v>1.3 Indiquez votre remise (cellule P69), le prix par champ s'affiche ligne 69 et le total de la commande est dans la cellule R68</v>
      </c>
      <c r="B211" s="356" t="s">
        <v>391</v>
      </c>
      <c r="C211" s="555" t="s">
        <v>397</v>
      </c>
      <c r="D211" s="555" t="s">
        <v>1195</v>
      </c>
      <c r="E211" s="416"/>
      <c r="F211" s="345"/>
    </row>
    <row r="212" spans="1:6" ht="30">
      <c r="A212" s="348" t="str">
        <f t="shared" si="7"/>
        <v>2.0 Si vous souhaitez effectuer un assemblage de 2 ou plusieurs ombrières, vous devez remplir l'onglet "Assemblage Shadow Solar" uniquement.</v>
      </c>
      <c r="B212" s="356" t="s">
        <v>393</v>
      </c>
      <c r="C212" s="555" t="s">
        <v>1196</v>
      </c>
      <c r="D212" s="555" t="s">
        <v>1197</v>
      </c>
      <c r="E212" s="416"/>
      <c r="F212" s="345"/>
    </row>
    <row r="213" spans="1:6" ht="30">
      <c r="A213" s="348" t="str">
        <f t="shared" si="7"/>
        <v>2.1 Pour un assemblage latéral: noter la configuration sur la même ligne</v>
      </c>
      <c r="B213" s="356" t="s">
        <v>392</v>
      </c>
      <c r="C213" s="555" t="s">
        <v>398</v>
      </c>
      <c r="D213" s="555" t="s">
        <v>1198</v>
      </c>
      <c r="E213" s="416"/>
      <c r="F213" s="345"/>
    </row>
    <row r="214" spans="1:6" ht="30">
      <c r="A214" s="348" t="str">
        <f t="shared" si="7"/>
        <v>2.2 Pour un assemblage en profondeur: noter la configuration sur la même colonne</v>
      </c>
      <c r="B214" s="356" t="s">
        <v>394</v>
      </c>
      <c r="C214" s="555" t="s">
        <v>399</v>
      </c>
      <c r="D214" s="555" t="s">
        <v>1199</v>
      </c>
      <c r="E214" s="416"/>
      <c r="F214" s="345"/>
    </row>
    <row r="215" spans="1:6" ht="30">
      <c r="A215" s="348" t="str">
        <f t="shared" si="7"/>
        <v xml:space="preserve">3.0 Noter le nombre d'assemblages dans la cellule L15 de l'onglet "Shadow Solar 1635-1676" ou "Shadow Solar 1655-1685" </v>
      </c>
      <c r="B215" s="356" t="s">
        <v>494</v>
      </c>
      <c r="C215" s="555" t="s">
        <v>400</v>
      </c>
      <c r="D215" s="555" t="s">
        <v>1200</v>
      </c>
      <c r="E215" s="416"/>
      <c r="F215" s="345"/>
    </row>
    <row r="216" spans="1:6" ht="30">
      <c r="A216" s="20" t="str">
        <f t="shared" si="7"/>
        <v>Catégorie 0 : 
mer ou zone côtière exposée aux vents de mer.</v>
      </c>
      <c r="B216" s="199" t="s">
        <v>620</v>
      </c>
      <c r="C216" s="556" t="s">
        <v>621</v>
      </c>
      <c r="D216" s="556" t="s">
        <v>945</v>
      </c>
      <c r="E216" s="409"/>
      <c r="F216" s="20"/>
    </row>
    <row r="217" spans="1:6" ht="30">
      <c r="A217" s="20" t="str">
        <f t="shared" si="7"/>
        <v>Catégorie I : 
lac ou zone à végétation négligeable et libre de tout obstacle.</v>
      </c>
      <c r="B217" s="199" t="s">
        <v>1482</v>
      </c>
      <c r="C217" s="556" t="s">
        <v>1483</v>
      </c>
      <c r="D217" s="556" t="s">
        <v>1484</v>
      </c>
      <c r="E217" s="409"/>
      <c r="F217" s="20"/>
    </row>
    <row r="218" spans="1:6" ht="60">
      <c r="A218" s="20" t="str">
        <f t="shared" si="7"/>
        <v>Catégorie II : 
zone à végétation basse telle que de l’herbe, avec ou non quelques obstacles isolés (arbres, bâtiments) séparés les uns des autres d'au moins 20 fois leur hauteur.</v>
      </c>
      <c r="B218" s="199" t="s">
        <v>1493</v>
      </c>
      <c r="C218" s="556" t="s">
        <v>1488</v>
      </c>
      <c r="D218" s="556" t="s">
        <v>1485</v>
      </c>
      <c r="E218" s="409"/>
      <c r="F218" s="20"/>
    </row>
    <row r="219" spans="1:6" ht="45">
      <c r="A219" s="20" t="str">
        <f t="shared" si="7"/>
        <v>Catégorie III : 
zone avec une couverture végétale régulière ou des bâtiments, ou avec des obstacles isolés séparés d'au plus 20 fois leur hauteur.</v>
      </c>
      <c r="B219" s="199" t="s">
        <v>1491</v>
      </c>
      <c r="C219" s="556" t="s">
        <v>1489</v>
      </c>
      <c r="D219" s="556" t="s">
        <v>1486</v>
      </c>
      <c r="E219" s="409"/>
      <c r="F219" s="20"/>
    </row>
    <row r="220" spans="1:6" ht="45">
      <c r="A220" s="409" t="str">
        <f t="shared" si="7"/>
        <v>Catégorie IV : 
zone dont au moins 15 % de la surface sont recouverts de bâtiments, dont la hauteur moyenne est supérieure à 15 m.</v>
      </c>
      <c r="B220" s="415" t="s">
        <v>1492</v>
      </c>
      <c r="C220" s="556" t="s">
        <v>1490</v>
      </c>
      <c r="D220" s="556" t="s">
        <v>1487</v>
      </c>
      <c r="E220" s="409"/>
      <c r="F220" s="20"/>
    </row>
    <row r="221" spans="1:6">
      <c r="A221" s="409" t="str">
        <f t="shared" si="7"/>
        <v>Après remise €HT</v>
      </c>
      <c r="B221" s="410" t="s">
        <v>822</v>
      </c>
      <c r="C221" s="410" t="s">
        <v>992</v>
      </c>
      <c r="D221" s="553" t="s">
        <v>1201</v>
      </c>
      <c r="E221" s="415"/>
      <c r="F221" s="409"/>
    </row>
    <row r="222" spans="1:6">
      <c r="A222" s="409" t="str">
        <f t="shared" si="7"/>
        <v>Assemblage en profondeur : nous consulter</v>
      </c>
      <c r="B222" s="424" t="s">
        <v>672</v>
      </c>
      <c r="C222" s="553" t="s">
        <v>948</v>
      </c>
      <c r="D222" s="557" t="s">
        <v>1202</v>
      </c>
      <c r="E222" s="409"/>
      <c r="F222" s="409"/>
    </row>
    <row r="223" spans="1:6">
      <c r="A223" s="409" t="str">
        <f t="shared" si="7"/>
        <v xml:space="preserve"> </v>
      </c>
      <c r="B223" s="424" t="str">
        <f>IF('Nomenclature CONFORT'!I37&gt;0,"NOTA : Livraison des plaques de Makrolon par UDV 60 pcs.",IF('Nomenclature CONFORT'!I38&gt;0,"NOTA : Livraison des plaques de Makrolon par UDV 60 pcs."," "))</f>
        <v xml:space="preserve"> </v>
      </c>
      <c r="C223" s="558" t="s">
        <v>1203</v>
      </c>
      <c r="D223" s="557" t="s">
        <v>1204</v>
      </c>
      <c r="E223" s="409"/>
      <c r="F223" s="409"/>
    </row>
    <row r="224" spans="1:6">
      <c r="A224" s="409" t="str">
        <f t="shared" ref="A224:A287" si="8">INDEX(B224:F224,$B$1)</f>
        <v>PG STRUCTURE 2x2 7016 MAT</v>
      </c>
      <c r="B224" s="425" t="s">
        <v>404</v>
      </c>
      <c r="C224" s="553" t="s">
        <v>404</v>
      </c>
      <c r="D224" s="557" t="s">
        <v>1205</v>
      </c>
      <c r="E224" s="409"/>
      <c r="F224" s="409"/>
    </row>
    <row r="225" spans="1:6">
      <c r="A225" s="409" t="str">
        <f t="shared" si="8"/>
        <v>PG STRUCTURE 2x2 9010 BRILLANT</v>
      </c>
      <c r="B225" s="425" t="s">
        <v>406</v>
      </c>
      <c r="C225" s="553" t="s">
        <v>952</v>
      </c>
      <c r="D225" s="557" t="s">
        <v>1206</v>
      </c>
      <c r="E225" s="409"/>
      <c r="F225" s="409"/>
    </row>
    <row r="226" spans="1:6">
      <c r="A226" s="409" t="str">
        <f t="shared" si="8"/>
        <v>PG STRUCTURE 2x3 7016 MAT</v>
      </c>
      <c r="B226" s="425" t="s">
        <v>407</v>
      </c>
      <c r="C226" s="553" t="s">
        <v>407</v>
      </c>
      <c r="D226" s="557" t="s">
        <v>1207</v>
      </c>
      <c r="E226" s="409"/>
      <c r="F226" s="409"/>
    </row>
    <row r="227" spans="1:6">
      <c r="A227" s="409" t="str">
        <f t="shared" si="8"/>
        <v>PG STRUCTURE 2x3 9010 BRILLANT</v>
      </c>
      <c r="B227" s="425" t="s">
        <v>408</v>
      </c>
      <c r="C227" s="553" t="s">
        <v>953</v>
      </c>
      <c r="D227" s="557" t="s">
        <v>1208</v>
      </c>
      <c r="E227" s="409"/>
      <c r="F227" s="409"/>
    </row>
    <row r="228" spans="1:6">
      <c r="A228" s="409" t="str">
        <f t="shared" si="8"/>
        <v>PG STRUCTURE 3x3 7016 MAT</v>
      </c>
      <c r="B228" s="425" t="s">
        <v>410</v>
      </c>
      <c r="C228" s="553" t="s">
        <v>410</v>
      </c>
      <c r="D228" s="557" t="s">
        <v>1209</v>
      </c>
      <c r="E228" s="409"/>
      <c r="F228" s="409"/>
    </row>
    <row r="229" spans="1:6">
      <c r="A229" s="409" t="str">
        <f t="shared" si="8"/>
        <v>PG STRUCTURE 3x3 9010 BRILLANT</v>
      </c>
      <c r="B229" s="425" t="s">
        <v>411</v>
      </c>
      <c r="C229" s="553" t="s">
        <v>954</v>
      </c>
      <c r="D229" s="557" t="s">
        <v>1210</v>
      </c>
      <c r="E229" s="409"/>
      <c r="F229" s="409"/>
    </row>
    <row r="230" spans="1:6">
      <c r="A230" s="409" t="str">
        <f t="shared" si="8"/>
        <v>PG STRUCTURE 4x2 7016 MAT</v>
      </c>
      <c r="B230" s="425" t="s">
        <v>412</v>
      </c>
      <c r="C230" s="553" t="s">
        <v>412</v>
      </c>
      <c r="D230" s="557" t="s">
        <v>1211</v>
      </c>
      <c r="E230" s="409"/>
      <c r="F230" s="409"/>
    </row>
    <row r="231" spans="1:6">
      <c r="A231" s="409" t="str">
        <f t="shared" si="8"/>
        <v>PG STRUCTURE 4x2 9010 BRILLANT</v>
      </c>
      <c r="B231" s="425" t="s">
        <v>413</v>
      </c>
      <c r="C231" s="553" t="s">
        <v>955</v>
      </c>
      <c r="D231" s="557" t="s">
        <v>1212</v>
      </c>
      <c r="E231" s="409"/>
      <c r="F231" s="409"/>
    </row>
    <row r="232" spans="1:6">
      <c r="A232" s="409" t="str">
        <f t="shared" si="8"/>
        <v>PG STRUCTURE 4x3 7016 MAT</v>
      </c>
      <c r="B232" s="425" t="s">
        <v>415</v>
      </c>
      <c r="C232" s="553" t="s">
        <v>415</v>
      </c>
      <c r="D232" s="557" t="s">
        <v>1213</v>
      </c>
      <c r="E232" s="409"/>
      <c r="F232" s="409"/>
    </row>
    <row r="233" spans="1:6">
      <c r="A233" s="409" t="str">
        <f t="shared" si="8"/>
        <v>PG STRUCTURE 4x3 9010 BRILLANT</v>
      </c>
      <c r="B233" s="425" t="s">
        <v>417</v>
      </c>
      <c r="C233" s="553" t="s">
        <v>956</v>
      </c>
      <c r="D233" s="557" t="s">
        <v>1214</v>
      </c>
      <c r="E233" s="409"/>
      <c r="F233" s="409"/>
    </row>
    <row r="234" spans="1:6">
      <c r="A234" s="409" t="str">
        <f t="shared" si="8"/>
        <v>KIT ACTIONNEUR 2500N 155MM</v>
      </c>
      <c r="B234" s="425" t="s">
        <v>440</v>
      </c>
      <c r="C234" s="553" t="s">
        <v>957</v>
      </c>
      <c r="D234" s="557" t="s">
        <v>1215</v>
      </c>
      <c r="E234" s="409"/>
      <c r="F234" s="409"/>
    </row>
    <row r="235" spans="1:6">
      <c r="A235" s="409" t="str">
        <f t="shared" si="8"/>
        <v>PG KIT BIO 1x2 7016 MAT</v>
      </c>
      <c r="B235" s="425" t="s">
        <v>427</v>
      </c>
      <c r="C235" s="553" t="s">
        <v>958</v>
      </c>
      <c r="D235" s="557" t="s">
        <v>1216</v>
      </c>
      <c r="E235" s="409"/>
      <c r="F235" s="409"/>
    </row>
    <row r="236" spans="1:6">
      <c r="A236" s="409" t="str">
        <f t="shared" si="8"/>
        <v>PG KIT BIO 1x2 9010 BRILLANT</v>
      </c>
      <c r="B236" s="425" t="s">
        <v>428</v>
      </c>
      <c r="C236" s="553" t="s">
        <v>959</v>
      </c>
      <c r="D236" s="557" t="s">
        <v>1217</v>
      </c>
      <c r="E236" s="409"/>
      <c r="F236" s="409"/>
    </row>
    <row r="237" spans="1:6">
      <c r="A237" s="409" t="str">
        <f t="shared" si="8"/>
        <v>PG KIT BIO 1x3 7016 MAT</v>
      </c>
      <c r="B237" s="425" t="s">
        <v>429</v>
      </c>
      <c r="C237" s="553" t="s">
        <v>960</v>
      </c>
      <c r="D237" s="557" t="s">
        <v>1218</v>
      </c>
      <c r="E237" s="409"/>
      <c r="F237" s="409"/>
    </row>
    <row r="238" spans="1:6">
      <c r="A238" s="409" t="str">
        <f t="shared" si="8"/>
        <v>PG KIT BIO 1x3 9010 BRILLANT</v>
      </c>
      <c r="B238" s="425" t="s">
        <v>430</v>
      </c>
      <c r="C238" s="553" t="s">
        <v>961</v>
      </c>
      <c r="D238" s="557" t="s">
        <v>1219</v>
      </c>
      <c r="E238" s="409"/>
      <c r="F238" s="409"/>
    </row>
    <row r="239" spans="1:6">
      <c r="A239" s="409" t="str">
        <f t="shared" si="8"/>
        <v>PG 2 PIEDS 2400 7016 MAT</v>
      </c>
      <c r="B239" s="425" t="s">
        <v>431</v>
      </c>
      <c r="C239" s="559" t="s">
        <v>1220</v>
      </c>
      <c r="D239" s="557" t="s">
        <v>1221</v>
      </c>
      <c r="E239" s="409"/>
      <c r="F239" s="409"/>
    </row>
    <row r="240" spans="1:6">
      <c r="A240" s="409" t="str">
        <f t="shared" si="8"/>
        <v>PG 2 PIEDS 2400 9010 BRILLANT</v>
      </c>
      <c r="B240" s="425" t="s">
        <v>432</v>
      </c>
      <c r="C240" s="553" t="s">
        <v>962</v>
      </c>
      <c r="D240" s="557" t="s">
        <v>1222</v>
      </c>
      <c r="E240" s="409"/>
      <c r="F240" s="409"/>
    </row>
    <row r="241" spans="1:6">
      <c r="A241" s="409" t="str">
        <f t="shared" si="8"/>
        <v>PG OPT ACC. 1 SOUS FACE 7016 MAT</v>
      </c>
      <c r="B241" s="425" t="s">
        <v>433</v>
      </c>
      <c r="C241" s="553" t="s">
        <v>963</v>
      </c>
      <c r="D241" s="557" t="s">
        <v>1223</v>
      </c>
      <c r="E241" s="409"/>
      <c r="F241" s="409"/>
    </row>
    <row r="242" spans="1:6">
      <c r="A242" s="409" t="str">
        <f t="shared" si="8"/>
        <v>PG OPT ACC. 1 SOUS FACE 9010 BRILLANT</v>
      </c>
      <c r="B242" s="425" t="s">
        <v>434</v>
      </c>
      <c r="C242" s="553" t="s">
        <v>964</v>
      </c>
      <c r="D242" s="557" t="s">
        <v>1224</v>
      </c>
      <c r="E242" s="409"/>
      <c r="F242" s="409"/>
    </row>
    <row r="243" spans="1:6">
      <c r="A243" s="409" t="str">
        <f t="shared" si="8"/>
        <v>PG DEPORT 2 PIEDS</v>
      </c>
      <c r="B243" s="425" t="s">
        <v>435</v>
      </c>
      <c r="C243" s="553" t="s">
        <v>965</v>
      </c>
      <c r="D243" s="557" t="s">
        <v>1225</v>
      </c>
      <c r="E243" s="409"/>
      <c r="F243" s="409"/>
    </row>
    <row r="244" spans="1:6">
      <c r="A244" s="409" t="str">
        <f t="shared" si="8"/>
        <v>PG KIT PV 1x2 7016 MAT</v>
      </c>
      <c r="B244" s="425" t="s">
        <v>436</v>
      </c>
      <c r="C244" s="553" t="s">
        <v>966</v>
      </c>
      <c r="D244" s="557" t="s">
        <v>1226</v>
      </c>
      <c r="E244" s="409"/>
      <c r="F244" s="409"/>
    </row>
    <row r="245" spans="1:6">
      <c r="A245" s="409" t="str">
        <f t="shared" si="8"/>
        <v>PG KIT PV 1x2 9010 BRILLANT</v>
      </c>
      <c r="B245" s="425" t="s">
        <v>437</v>
      </c>
      <c r="C245" s="553" t="s">
        <v>967</v>
      </c>
      <c r="D245" s="557" t="s">
        <v>1227</v>
      </c>
      <c r="E245" s="409"/>
      <c r="F245" s="409"/>
    </row>
    <row r="246" spans="1:6">
      <c r="A246" s="409" t="str">
        <f t="shared" si="8"/>
        <v>PG KIT PV 1x3 7016 MAT</v>
      </c>
      <c r="B246" s="425" t="s">
        <v>438</v>
      </c>
      <c r="C246" s="553" t="s">
        <v>968</v>
      </c>
      <c r="D246" s="557" t="s">
        <v>1228</v>
      </c>
      <c r="E246" s="409"/>
      <c r="F246" s="409"/>
    </row>
    <row r="247" spans="1:6">
      <c r="A247" s="409" t="str">
        <f t="shared" si="8"/>
        <v>PG KIT PV 1x3 9010 BRILLANT</v>
      </c>
      <c r="B247" s="425" t="s">
        <v>439</v>
      </c>
      <c r="C247" s="553" t="s">
        <v>969</v>
      </c>
      <c r="D247" s="557" t="s">
        <v>1229</v>
      </c>
      <c r="E247" s="409"/>
      <c r="F247" s="409"/>
    </row>
    <row r="248" spans="1:6">
      <c r="A248" s="409" t="str">
        <f t="shared" si="8"/>
        <v>KIT RUBANS LED 20M 3200°K</v>
      </c>
      <c r="B248" s="425" t="s">
        <v>449</v>
      </c>
      <c r="C248" s="553" t="s">
        <v>970</v>
      </c>
      <c r="D248" s="557" t="s">
        <v>1230</v>
      </c>
      <c r="E248" s="409"/>
      <c r="F248" s="409"/>
    </row>
    <row r="249" spans="1:6">
      <c r="A249" s="409" t="str">
        <f t="shared" si="8"/>
        <v>KIT 4 SPOTS LED 3000°K</v>
      </c>
      <c r="B249" s="425" t="s">
        <v>741</v>
      </c>
      <c r="C249" s="553" t="s">
        <v>971</v>
      </c>
      <c r="D249" s="557" t="s">
        <v>1231</v>
      </c>
      <c r="E249" s="409"/>
      <c r="F249" s="409"/>
    </row>
    <row r="250" spans="1:6">
      <c r="A250" s="409" t="str">
        <f t="shared" si="8"/>
        <v>KIT 2 SPOTS LED 3000°K</v>
      </c>
      <c r="B250" s="425" t="s">
        <v>742</v>
      </c>
      <c r="C250" s="553" t="s">
        <v>972</v>
      </c>
      <c r="D250" s="557" t="s">
        <v>1232</v>
      </c>
      <c r="E250" s="409"/>
      <c r="F250" s="409"/>
    </row>
    <row r="251" spans="1:6">
      <c r="A251" s="409" t="str">
        <f t="shared" si="8"/>
        <v>sous face X3 : 980x2530 mm</v>
      </c>
      <c r="B251" s="425" t="s">
        <v>450</v>
      </c>
      <c r="C251" s="553" t="s">
        <v>1233</v>
      </c>
      <c r="D251" s="557" t="s">
        <v>1234</v>
      </c>
      <c r="E251" s="409"/>
      <c r="F251" s="409"/>
    </row>
    <row r="252" spans="1:6">
      <c r="A252" s="409" t="str">
        <f t="shared" si="8"/>
        <v>sous face X2 : 980x3390 mm</v>
      </c>
      <c r="B252" s="425" t="s">
        <v>451</v>
      </c>
      <c r="C252" s="553" t="s">
        <v>1235</v>
      </c>
      <c r="D252" s="557" t="s">
        <v>1236</v>
      </c>
      <c r="E252" s="409"/>
      <c r="F252" s="409"/>
    </row>
    <row r="253" spans="1:6">
      <c r="A253" s="409" t="str">
        <f t="shared" si="8"/>
        <v>PG KIT 2 FIXATIONS MURALES 7016 MAT</v>
      </c>
      <c r="B253" s="425" t="s">
        <v>1684</v>
      </c>
      <c r="C253" s="553" t="s">
        <v>973</v>
      </c>
      <c r="D253" s="557" t="s">
        <v>1237</v>
      </c>
      <c r="E253" s="409"/>
      <c r="F253" s="409"/>
    </row>
    <row r="254" spans="1:6">
      <c r="A254" s="409" t="str">
        <f t="shared" si="8"/>
        <v>PG KIT 2 FIXATIONS MURALES RAL9010</v>
      </c>
      <c r="B254" s="425" t="s">
        <v>1685</v>
      </c>
      <c r="C254" s="553" t="s">
        <v>1238</v>
      </c>
      <c r="D254" s="557" t="s">
        <v>1239</v>
      </c>
      <c r="E254" s="409"/>
      <c r="F254" s="409"/>
    </row>
    <row r="255" spans="1:6">
      <c r="A255" s="409" t="str">
        <f t="shared" si="8"/>
        <v>kit 2 embases de pieds 7016 Mat</v>
      </c>
      <c r="B255" s="425" t="s">
        <v>454</v>
      </c>
      <c r="C255" s="553" t="s">
        <v>1240</v>
      </c>
      <c r="D255" s="560" t="s">
        <v>1241</v>
      </c>
      <c r="E255" s="409"/>
      <c r="F255" s="409"/>
    </row>
    <row r="256" spans="1:6">
      <c r="A256" s="409" t="str">
        <f t="shared" si="8"/>
        <v>kit 2 embases de pieds 9010</v>
      </c>
      <c r="B256" s="425" t="s">
        <v>455</v>
      </c>
      <c r="C256" s="553" t="s">
        <v>1686</v>
      </c>
      <c r="D256" s="557" t="s">
        <v>1242</v>
      </c>
      <c r="E256" s="409"/>
      <c r="F256" s="409"/>
    </row>
    <row r="257" spans="1:6" ht="27">
      <c r="A257" s="409" t="str">
        <f t="shared" si="8"/>
        <v>STORE VERTICAL l2543 7016MAT
Mermet satiné 5500-0201</v>
      </c>
      <c r="B257" s="574" t="s">
        <v>1448</v>
      </c>
      <c r="C257" s="553" t="s">
        <v>974</v>
      </c>
      <c r="D257" s="557" t="s">
        <v>1243</v>
      </c>
      <c r="E257" s="409"/>
      <c r="F257" s="409"/>
    </row>
    <row r="258" spans="1:6" ht="27">
      <c r="A258" s="409" t="str">
        <f t="shared" si="8"/>
        <v>STORE VERTICAL l2543 9010BRI
Mermet satiné 5500-0201</v>
      </c>
      <c r="B258" s="574" t="s">
        <v>1449</v>
      </c>
      <c r="C258" s="553" t="s">
        <v>975</v>
      </c>
      <c r="D258" s="557" t="s">
        <v>1244</v>
      </c>
      <c r="E258" s="409"/>
      <c r="F258" s="409"/>
    </row>
    <row r="259" spans="1:6" ht="27">
      <c r="A259" s="409" t="str">
        <f t="shared" si="8"/>
        <v>STORE VERTICAL l2693 7016MAT
Mermet satiné 5500-0201</v>
      </c>
      <c r="B259" s="574" t="s">
        <v>1450</v>
      </c>
      <c r="C259" s="553" t="s">
        <v>976</v>
      </c>
      <c r="D259" s="557" t="s">
        <v>1245</v>
      </c>
      <c r="E259" s="409"/>
      <c r="F259" s="409"/>
    </row>
    <row r="260" spans="1:6" ht="27">
      <c r="A260" s="409" t="str">
        <f t="shared" si="8"/>
        <v>STORE VERTICAL l2693 9010BRI
Mermet satiné 5500-0201</v>
      </c>
      <c r="B260" s="574" t="s">
        <v>1451</v>
      </c>
      <c r="C260" s="553" t="s">
        <v>977</v>
      </c>
      <c r="D260" s="557" t="s">
        <v>1246</v>
      </c>
      <c r="E260" s="409"/>
      <c r="F260" s="409"/>
    </row>
    <row r="261" spans="1:6" ht="27">
      <c r="A261" s="409" t="str">
        <f t="shared" si="8"/>
        <v>STORE VERTICAL l3374 7016MAT 
Mermet satiné 5500-0201</v>
      </c>
      <c r="B261" s="574" t="s">
        <v>1447</v>
      </c>
      <c r="C261" s="553" t="s">
        <v>978</v>
      </c>
      <c r="D261" s="557" t="s">
        <v>1247</v>
      </c>
      <c r="E261" s="409"/>
      <c r="F261" s="409"/>
    </row>
    <row r="262" spans="1:6" ht="27">
      <c r="A262" s="409" t="str">
        <f t="shared" si="8"/>
        <v>STORE VERTICAL l3374 9010BRI
Mermet satiné 5500-0201</v>
      </c>
      <c r="B262" s="574" t="s">
        <v>1453</v>
      </c>
      <c r="C262" s="553" t="s">
        <v>979</v>
      </c>
      <c r="D262" s="557" t="s">
        <v>1248</v>
      </c>
      <c r="E262" s="409"/>
      <c r="F262" s="409"/>
    </row>
    <row r="263" spans="1:6" ht="27">
      <c r="A263" s="409" t="str">
        <f t="shared" si="8"/>
        <v>STORE VERTICAL l3793 7016MAT
Mermet satiné 5500-0201</v>
      </c>
      <c r="B263" s="574" t="s">
        <v>1454</v>
      </c>
      <c r="C263" s="553" t="s">
        <v>980</v>
      </c>
      <c r="D263" s="557" t="s">
        <v>1249</v>
      </c>
      <c r="E263" s="409"/>
      <c r="F263" s="409"/>
    </row>
    <row r="264" spans="1:6" ht="27">
      <c r="A264" s="409" t="str">
        <f t="shared" si="8"/>
        <v>STORE VERTICAL l3793 9010BRI
Mermet satiné 5500-0201</v>
      </c>
      <c r="B264" s="574" t="s">
        <v>1452</v>
      </c>
      <c r="C264" s="553" t="s">
        <v>981</v>
      </c>
      <c r="D264" s="557" t="s">
        <v>1250</v>
      </c>
      <c r="E264" s="409"/>
      <c r="F264" s="409"/>
    </row>
    <row r="265" spans="1:6" ht="27">
      <c r="A265" s="409" t="str">
        <f t="shared" si="8"/>
        <v>STORE VERTICAL l3943 7016MAT
Mermet satiné 5500-0201</v>
      </c>
      <c r="B265" s="574" t="s">
        <v>1455</v>
      </c>
      <c r="C265" s="553" t="s">
        <v>982</v>
      </c>
      <c r="D265" s="557" t="s">
        <v>1251</v>
      </c>
      <c r="E265" s="409"/>
      <c r="F265" s="409"/>
    </row>
    <row r="266" spans="1:6" ht="27">
      <c r="A266" s="409" t="str">
        <f t="shared" si="8"/>
        <v>STORE VERTICAL l3943 9010BRI
Mermet satiné 5500-0201</v>
      </c>
      <c r="B266" s="574" t="s">
        <v>1456</v>
      </c>
      <c r="C266" s="553" t="s">
        <v>983</v>
      </c>
      <c r="D266" s="557" t="s">
        <v>1252</v>
      </c>
      <c r="E266" s="409"/>
      <c r="F266" s="409"/>
    </row>
    <row r="267" spans="1:6" ht="27">
      <c r="A267" s="409" t="str">
        <f t="shared" si="8"/>
        <v>STORE VERTICAL l5043 7016MAT
Mermet satiné 5500-0201</v>
      </c>
      <c r="B267" s="574" t="s">
        <v>1457</v>
      </c>
      <c r="C267" s="553" t="s">
        <v>984</v>
      </c>
      <c r="D267" s="557" t="s">
        <v>1253</v>
      </c>
      <c r="E267" s="409"/>
      <c r="F267" s="409"/>
    </row>
    <row r="268" spans="1:6" ht="27">
      <c r="A268" s="409" t="str">
        <f t="shared" si="8"/>
        <v>STORE VERTICAL l5043 9010BRI
Mermet satiné 5500-0201</v>
      </c>
      <c r="B268" s="574" t="s">
        <v>1458</v>
      </c>
      <c r="C268" s="553" t="s">
        <v>985</v>
      </c>
      <c r="D268" s="557" t="s">
        <v>1254</v>
      </c>
      <c r="E268" s="409"/>
      <c r="F268" s="409"/>
    </row>
    <row r="269" spans="1:6" ht="27">
      <c r="A269" s="409" t="str">
        <f t="shared" si="8"/>
        <v>STORE VERTICAL l5074 7016MAT
Mermet satiné 5500-0201</v>
      </c>
      <c r="B269" s="574" t="s">
        <v>1459</v>
      </c>
      <c r="C269" s="553" t="s">
        <v>986</v>
      </c>
      <c r="D269" s="557" t="s">
        <v>1255</v>
      </c>
      <c r="E269" s="409"/>
      <c r="F269" s="409"/>
    </row>
    <row r="270" spans="1:6" ht="27">
      <c r="A270" s="409" t="str">
        <f t="shared" si="8"/>
        <v>STORE VERTICAL l5074 9010BRI
Mermet satiné 5500-0201</v>
      </c>
      <c r="B270" s="574" t="s">
        <v>1460</v>
      </c>
      <c r="C270" s="553" t="s">
        <v>987</v>
      </c>
      <c r="D270" s="557" t="s">
        <v>1256</v>
      </c>
      <c r="E270" s="409"/>
      <c r="F270" s="409"/>
    </row>
    <row r="271" spans="1:6" ht="27">
      <c r="A271" s="409" t="str">
        <f t="shared" si="8"/>
        <v>STORE VERTICAL l5193 7016MAT
Mermet satiné 5500-0201</v>
      </c>
      <c r="B271" s="574" t="s">
        <v>1461</v>
      </c>
      <c r="C271" s="553" t="s">
        <v>988</v>
      </c>
      <c r="D271" s="557" t="s">
        <v>1257</v>
      </c>
      <c r="E271" s="409"/>
      <c r="F271" s="409"/>
    </row>
    <row r="272" spans="1:6" ht="27">
      <c r="A272" s="409" t="str">
        <f t="shared" si="8"/>
        <v>STORE VERTICAL l5193 9010BRI
Mermet satiné 5500-0201</v>
      </c>
      <c r="B272" s="574" t="s">
        <v>1462</v>
      </c>
      <c r="C272" s="553" t="s">
        <v>989</v>
      </c>
      <c r="D272" s="557" t="s">
        <v>1258</v>
      </c>
      <c r="E272" s="409"/>
      <c r="F272" s="409"/>
    </row>
    <row r="273" spans="1:6">
      <c r="A273" s="409" t="str">
        <f t="shared" si="8"/>
        <v>KIT STRUCTURE 4 ANGLES 7016 MAT</v>
      </c>
      <c r="B273" s="425" t="s">
        <v>738</v>
      </c>
      <c r="C273" s="553" t="s">
        <v>990</v>
      </c>
      <c r="D273" s="557" t="s">
        <v>1259</v>
      </c>
      <c r="E273" s="409"/>
      <c r="F273" s="409"/>
    </row>
    <row r="274" spans="1:6">
      <c r="A274" s="409" t="str">
        <f t="shared" si="8"/>
        <v>KIT STRUCTURE 4 ANGLES 9010 BRILLANT</v>
      </c>
      <c r="B274" s="425" t="s">
        <v>739</v>
      </c>
      <c r="C274" s="553" t="s">
        <v>991</v>
      </c>
      <c r="D274" s="557" t="s">
        <v>1260</v>
      </c>
      <c r="E274" s="409"/>
      <c r="F274" s="409"/>
    </row>
    <row r="275" spans="1:6" ht="30">
      <c r="A275" s="409" t="str">
        <f t="shared" si="8"/>
        <v>kit structure pour une pergola 2x2
couleur  : 7016 Mat</v>
      </c>
      <c r="B275" s="425" t="s">
        <v>779</v>
      </c>
      <c r="C275" s="561" t="s">
        <v>1261</v>
      </c>
      <c r="D275" s="562" t="s">
        <v>1262</v>
      </c>
      <c r="E275" s="409"/>
      <c r="F275" s="409"/>
    </row>
    <row r="276" spans="1:6" ht="30">
      <c r="A276" s="409" t="str">
        <f t="shared" si="8"/>
        <v>kit structure pour une pergola 2x2
couleur  : 9010 brillant</v>
      </c>
      <c r="B276" s="425" t="s">
        <v>780</v>
      </c>
      <c r="C276" s="561" t="s">
        <v>1263</v>
      </c>
      <c r="D276" s="562" t="s">
        <v>1264</v>
      </c>
      <c r="E276" s="409"/>
      <c r="F276" s="409"/>
    </row>
    <row r="277" spans="1:6" ht="30">
      <c r="A277" s="409" t="str">
        <f t="shared" si="8"/>
        <v>kit structure pour une pergola 2x3
couleur  : 7016 Mat</v>
      </c>
      <c r="B277" s="425" t="s">
        <v>781</v>
      </c>
      <c r="C277" s="561" t="s">
        <v>1265</v>
      </c>
      <c r="D277" s="562" t="s">
        <v>1266</v>
      </c>
      <c r="E277" s="409"/>
      <c r="F277" s="409"/>
    </row>
    <row r="278" spans="1:6" ht="30">
      <c r="A278" s="409" t="str">
        <f t="shared" si="8"/>
        <v>kit structure pour une pergola 2x3
couleur  : 9010 brillant</v>
      </c>
      <c r="B278" s="425" t="s">
        <v>782</v>
      </c>
      <c r="C278" s="561" t="s">
        <v>1267</v>
      </c>
      <c r="D278" s="562" t="s">
        <v>1268</v>
      </c>
      <c r="E278" s="409"/>
      <c r="F278" s="409"/>
    </row>
    <row r="279" spans="1:6" ht="30">
      <c r="A279" s="409" t="str">
        <f t="shared" si="8"/>
        <v>kit structure pour une pergola 3x3
couleur  : 7016 Mat</v>
      </c>
      <c r="B279" s="425" t="s">
        <v>783</v>
      </c>
      <c r="C279" s="561" t="s">
        <v>1269</v>
      </c>
      <c r="D279" s="562" t="s">
        <v>1270</v>
      </c>
      <c r="E279" s="409"/>
      <c r="F279" s="409"/>
    </row>
    <row r="280" spans="1:6" ht="30">
      <c r="A280" s="409" t="str">
        <f t="shared" si="8"/>
        <v>kit structure pour une pergola 3x3
couleur  : 9010 brillant</v>
      </c>
      <c r="B280" s="425" t="s">
        <v>784</v>
      </c>
      <c r="C280" s="561" t="s">
        <v>1271</v>
      </c>
      <c r="D280" s="562" t="s">
        <v>1272</v>
      </c>
      <c r="E280" s="409"/>
      <c r="F280" s="409"/>
    </row>
    <row r="281" spans="1:6" ht="30">
      <c r="A281" s="409" t="str">
        <f t="shared" si="8"/>
        <v>kit structure pour une pergola 4x2
couleur  : 7016 Mat</v>
      </c>
      <c r="B281" s="425" t="s">
        <v>785</v>
      </c>
      <c r="C281" s="561" t="s">
        <v>1273</v>
      </c>
      <c r="D281" s="562" t="s">
        <v>1274</v>
      </c>
      <c r="E281" s="409"/>
      <c r="F281" s="409"/>
    </row>
    <row r="282" spans="1:6" ht="30">
      <c r="A282" s="409" t="str">
        <f t="shared" si="8"/>
        <v>kit structure pour une pergola 4x2
couleur  : 9010 brillant</v>
      </c>
      <c r="B282" s="425" t="s">
        <v>786</v>
      </c>
      <c r="C282" s="561" t="s">
        <v>1275</v>
      </c>
      <c r="D282" s="562" t="s">
        <v>1276</v>
      </c>
      <c r="E282" s="409"/>
      <c r="F282" s="409"/>
    </row>
    <row r="283" spans="1:6" ht="30">
      <c r="A283" s="409" t="str">
        <f t="shared" si="8"/>
        <v>kit structure pour une pergola 4x3
couleur  : 7016 Mat</v>
      </c>
      <c r="B283" s="425" t="s">
        <v>787</v>
      </c>
      <c r="C283" s="561" t="s">
        <v>1277</v>
      </c>
      <c r="D283" s="562" t="s">
        <v>1278</v>
      </c>
      <c r="E283" s="409"/>
      <c r="F283" s="409"/>
    </row>
    <row r="284" spans="1:6" ht="30">
      <c r="A284" s="409" t="str">
        <f t="shared" si="8"/>
        <v>kit structure pour une pergola 4x3
couleur  : 9010 brillant</v>
      </c>
      <c r="B284" s="425" t="s">
        <v>788</v>
      </c>
      <c r="C284" s="561" t="s">
        <v>1279</v>
      </c>
      <c r="D284" s="562" t="s">
        <v>1280</v>
      </c>
      <c r="E284" s="409"/>
      <c r="F284" s="409"/>
    </row>
    <row r="285" spans="1:6">
      <c r="A285" s="409" t="str">
        <f t="shared" si="8"/>
        <v>Actionneur 2500N + alimentation + récepteur+Vérin</v>
      </c>
      <c r="B285" s="425" t="s">
        <v>673</v>
      </c>
      <c r="C285" s="559" t="s">
        <v>1281</v>
      </c>
      <c r="D285" s="557" t="s">
        <v>1282</v>
      </c>
      <c r="E285" s="409"/>
      <c r="F285" s="409"/>
    </row>
    <row r="286" spans="1:6" ht="45">
      <c r="A286" s="409" t="str">
        <f t="shared" si="8"/>
        <v>kit de 5 lames  = "1 ligne" , pour une pergola de 2 modules de large
Lames  : Blanches 9010 mat
Autres pièces en gris 7016 Mat</v>
      </c>
      <c r="B286" s="425" t="s">
        <v>665</v>
      </c>
      <c r="C286" s="561" t="s">
        <v>1283</v>
      </c>
      <c r="D286" s="562" t="s">
        <v>1284</v>
      </c>
      <c r="E286" s="409"/>
      <c r="F286" s="409"/>
    </row>
    <row r="287" spans="1:6" ht="45">
      <c r="A287" s="409" t="str">
        <f t="shared" si="8"/>
        <v>kit de 5 lames  = "1 lignes" , pour une pergola de 2 modules de large
Lames  : Blanches 9010 brillant
Autres pièces en ral 9010 Brillant</v>
      </c>
      <c r="B287" s="425" t="s">
        <v>460</v>
      </c>
      <c r="C287" s="561" t="s">
        <v>1285</v>
      </c>
      <c r="D287" s="562" t="s">
        <v>1286</v>
      </c>
      <c r="E287" s="409"/>
      <c r="F287" s="409"/>
    </row>
    <row r="288" spans="1:6" ht="45">
      <c r="A288" s="409" t="str">
        <f t="shared" ref="A288:A351" si="9">INDEX(B288:F288,$B$1)</f>
        <v>kit de 5 lames  = "1 ligne" , pour une pergola de 3 modules de large
Lames  : Blanches 7016 mat
Autres pièces en ral gris 7016 Mat</v>
      </c>
      <c r="B288" s="425" t="s">
        <v>461</v>
      </c>
      <c r="C288" s="561" t="s">
        <v>1287</v>
      </c>
      <c r="D288" s="562" t="s">
        <v>1288</v>
      </c>
      <c r="E288" s="409"/>
      <c r="F288" s="409"/>
    </row>
    <row r="289" spans="1:6" ht="45">
      <c r="A289" s="409" t="str">
        <f t="shared" si="9"/>
        <v>kit de 5 lames  = "1 ligne" , pour une pergola de 3 modules de large
Lames  : Blanches 9010 brillant
Autres pièces en ral  9010 Brillant</v>
      </c>
      <c r="B289" s="425" t="s">
        <v>675</v>
      </c>
      <c r="C289" s="561" t="s">
        <v>1289</v>
      </c>
      <c r="D289" s="562" t="s">
        <v>1290</v>
      </c>
      <c r="E289" s="409"/>
      <c r="F289" s="409"/>
    </row>
    <row r="290" spans="1:6">
      <c r="A290" s="409" t="str">
        <f t="shared" si="9"/>
        <v>2 pieds de 2400 mm de long, en Ral  7016 Mat</v>
      </c>
      <c r="B290" s="425" t="s">
        <v>441</v>
      </c>
      <c r="C290" s="559" t="s">
        <v>1291</v>
      </c>
      <c r="D290" s="557" t="s">
        <v>1292</v>
      </c>
      <c r="E290" s="409"/>
      <c r="F290" s="409"/>
    </row>
    <row r="291" spans="1:6">
      <c r="A291" s="409" t="str">
        <f t="shared" si="9"/>
        <v>2 pieds de 2400 mm de long, en Ral 9010 Brillant</v>
      </c>
      <c r="B291" s="425" t="s">
        <v>442</v>
      </c>
      <c r="C291" s="559" t="s">
        <v>1293</v>
      </c>
      <c r="D291" s="557" t="s">
        <v>1294</v>
      </c>
      <c r="E291" s="409"/>
      <c r="F291" s="409"/>
    </row>
    <row r="292" spans="1:6">
      <c r="A292" s="409" t="str">
        <f t="shared" si="9"/>
        <v>kit de fixation de sous face (pour une plaque), en ral 7016 Mat</v>
      </c>
      <c r="B292" s="425" t="s">
        <v>443</v>
      </c>
      <c r="C292" s="559" t="s">
        <v>1295</v>
      </c>
      <c r="D292" s="557" t="s">
        <v>1296</v>
      </c>
      <c r="E292" s="409"/>
      <c r="F292" s="409"/>
    </row>
    <row r="293" spans="1:6">
      <c r="A293" s="409" t="str">
        <f t="shared" si="9"/>
        <v>kit de fixation de sous face (pour une plaque), en ral 9010 Brillant</v>
      </c>
      <c r="B293" s="425" t="s">
        <v>444</v>
      </c>
      <c r="C293" s="559" t="s">
        <v>1297</v>
      </c>
      <c r="D293" s="557" t="s">
        <v>1298</v>
      </c>
      <c r="E293" s="409"/>
      <c r="F293" s="409"/>
    </row>
    <row r="294" spans="1:6">
      <c r="A294" s="409" t="str">
        <f t="shared" si="9"/>
        <v xml:space="preserve">Kit de déport des pieds + évacuation d'eau </v>
      </c>
      <c r="B294" s="425" t="s">
        <v>1703</v>
      </c>
      <c r="C294" s="559" t="s">
        <v>1299</v>
      </c>
      <c r="D294" s="557" t="s">
        <v>1918</v>
      </c>
      <c r="E294" s="409"/>
      <c r="F294" s="409"/>
    </row>
    <row r="295" spans="1:6" ht="40.5">
      <c r="A295" s="409" t="str">
        <f t="shared" si="9"/>
        <v>kit pour 1 ligne de panneaux photovoltaiques, pour pergola de 2 modules de large
couleur  : ral 7016 Mat</v>
      </c>
      <c r="B295" s="425" t="s">
        <v>791</v>
      </c>
      <c r="C295" s="561" t="s">
        <v>1300</v>
      </c>
      <c r="D295" s="557" t="s">
        <v>1301</v>
      </c>
      <c r="E295" s="409"/>
      <c r="F295" s="409"/>
    </row>
    <row r="296" spans="1:6" ht="40.5">
      <c r="A296" s="409" t="str">
        <f t="shared" si="9"/>
        <v>kit pour 1 ligne de panneaux photovoltaiques, pour pergola de 2 modules de large
couleur  : ral 9010 Brillant</v>
      </c>
      <c r="B296" s="425" t="s">
        <v>789</v>
      </c>
      <c r="C296" s="561" t="s">
        <v>1302</v>
      </c>
      <c r="D296" s="557" t="s">
        <v>1303</v>
      </c>
      <c r="E296" s="409"/>
      <c r="F296" s="409"/>
    </row>
    <row r="297" spans="1:6" ht="40.5">
      <c r="A297" s="409" t="str">
        <f t="shared" si="9"/>
        <v>kit pour 1 ligne de panneaux photovoltaiques, pour pergola de 3 modules de large
couleur  : ral 7016 Mat</v>
      </c>
      <c r="B297" s="425" t="s">
        <v>676</v>
      </c>
      <c r="C297" s="561" t="s">
        <v>1304</v>
      </c>
      <c r="D297" s="557" t="s">
        <v>1305</v>
      </c>
      <c r="E297" s="409"/>
      <c r="F297" s="409"/>
    </row>
    <row r="298" spans="1:6" ht="40.5">
      <c r="A298" s="409" t="str">
        <f t="shared" si="9"/>
        <v>kit pour 1 ligne de panneaux photovoltaiques, pour pergola de 3 modules de large
couleur  : ral 9010 Brillant</v>
      </c>
      <c r="B298" s="425" t="s">
        <v>790</v>
      </c>
      <c r="C298" s="561" t="s">
        <v>1306</v>
      </c>
      <c r="D298" s="557" t="s">
        <v>1307</v>
      </c>
      <c r="E298" s="409"/>
      <c r="F298" s="409"/>
    </row>
    <row r="299" spans="1:6">
      <c r="A299" s="409" t="str">
        <f t="shared" si="9"/>
        <v>Kit LED en ruban + ALIM + récepteur + télécommande</v>
      </c>
      <c r="B299" s="425" t="s">
        <v>1478</v>
      </c>
      <c r="C299" s="559" t="s">
        <v>1463</v>
      </c>
      <c r="D299" s="557" t="s">
        <v>1464</v>
      </c>
      <c r="E299" s="409"/>
      <c r="F299" s="409"/>
    </row>
    <row r="300" spans="1:6">
      <c r="A300" s="409" t="str">
        <f t="shared" si="9"/>
        <v>option kit Led : 4 spots  + ALIM + récepteur + télécommande</v>
      </c>
      <c r="B300" s="425" t="s">
        <v>792</v>
      </c>
      <c r="C300" s="559" t="s">
        <v>1308</v>
      </c>
      <c r="D300" s="557" t="s">
        <v>1309</v>
      </c>
      <c r="E300" s="409"/>
      <c r="F300" s="409"/>
    </row>
    <row r="301" spans="1:6">
      <c r="A301" s="409" t="str">
        <f t="shared" si="9"/>
        <v>option : 2 spots supplémentaires</v>
      </c>
      <c r="B301" s="425" t="s">
        <v>793</v>
      </c>
      <c r="C301" s="559" t="s">
        <v>1310</v>
      </c>
      <c r="D301" s="557" t="s">
        <v>1311</v>
      </c>
      <c r="E301" s="409"/>
      <c r="F301" s="409"/>
    </row>
    <row r="302" spans="1:6">
      <c r="A302" s="409" t="str">
        <f t="shared" si="9"/>
        <v>plaque de makrolon 980x2530mm</v>
      </c>
      <c r="B302" s="425" t="s">
        <v>452</v>
      </c>
      <c r="C302" s="559" t="s">
        <v>1312</v>
      </c>
      <c r="D302" s="557" t="s">
        <v>1313</v>
      </c>
      <c r="E302" s="409"/>
      <c r="F302" s="409"/>
    </row>
    <row r="303" spans="1:6">
      <c r="A303" s="409" t="str">
        <f t="shared" si="9"/>
        <v>plaque de makrolon 980x3390mm</v>
      </c>
      <c r="B303" s="425" t="s">
        <v>453</v>
      </c>
      <c r="C303" s="559" t="s">
        <v>1314</v>
      </c>
      <c r="D303" s="557" t="s">
        <v>1315</v>
      </c>
      <c r="E303" s="409"/>
      <c r="F303" s="409"/>
    </row>
    <row r="304" spans="1:6">
      <c r="A304" s="409" t="str">
        <f t="shared" si="9"/>
        <v>Kit 2 fixations murales RAL 7016 Mat</v>
      </c>
      <c r="B304" s="425" t="s">
        <v>669</v>
      </c>
      <c r="C304" s="559" t="s">
        <v>1316</v>
      </c>
      <c r="D304" s="557" t="s">
        <v>1317</v>
      </c>
      <c r="E304" s="409"/>
      <c r="F304" s="409"/>
    </row>
    <row r="305" spans="1:6">
      <c r="A305" s="409" t="str">
        <f t="shared" si="9"/>
        <v>Kit 2 fixations murales RAL 9010</v>
      </c>
      <c r="B305" s="425" t="s">
        <v>668</v>
      </c>
      <c r="C305" s="559" t="s">
        <v>1318</v>
      </c>
      <c r="D305" s="557" t="s">
        <v>1319</v>
      </c>
      <c r="E305" s="409"/>
      <c r="F305" s="409"/>
    </row>
    <row r="306" spans="1:6">
      <c r="A306" s="409" t="str">
        <f t="shared" si="9"/>
        <v>kit 2 embases de pieds 7016 Mat</v>
      </c>
      <c r="B306" s="425" t="s">
        <v>454</v>
      </c>
      <c r="C306" s="559" t="s">
        <v>1320</v>
      </c>
      <c r="D306" s="557" t="s">
        <v>1321</v>
      </c>
      <c r="E306" s="409"/>
      <c r="F306" s="409"/>
    </row>
    <row r="307" spans="1:6">
      <c r="A307" s="409" t="str">
        <f t="shared" si="9"/>
        <v>kit 2 embases de pieds 9010</v>
      </c>
      <c r="B307" s="425" t="s">
        <v>455</v>
      </c>
      <c r="C307" s="559" t="s">
        <v>1322</v>
      </c>
      <c r="D307" s="557" t="s">
        <v>1323</v>
      </c>
      <c r="E307" s="409"/>
      <c r="F307" s="409"/>
    </row>
    <row r="308" spans="1:6" ht="27">
      <c r="A308" s="409" t="str">
        <f t="shared" si="9"/>
        <v>STORE VERTICAL l2543 7016MAT
Mermet satiné 5500-0201</v>
      </c>
      <c r="B308" s="574" t="s">
        <v>1448</v>
      </c>
      <c r="C308" s="553" t="s">
        <v>974</v>
      </c>
      <c r="D308" s="557" t="s">
        <v>1324</v>
      </c>
      <c r="E308" s="409"/>
      <c r="F308" s="409"/>
    </row>
    <row r="309" spans="1:6" ht="27">
      <c r="A309" s="409" t="str">
        <f t="shared" si="9"/>
        <v>STORE VERTICAL l2543 9010BRI
Mermet satiné 5500-0201</v>
      </c>
      <c r="B309" s="574" t="s">
        <v>1449</v>
      </c>
      <c r="C309" s="553" t="s">
        <v>975</v>
      </c>
      <c r="D309" s="557" t="s">
        <v>1244</v>
      </c>
      <c r="E309" s="409"/>
      <c r="F309" s="409"/>
    </row>
    <row r="310" spans="1:6" ht="27">
      <c r="A310" s="409" t="str">
        <f t="shared" si="9"/>
        <v>STORE VERTICAL l2693 7016MAT
Mermet satiné 5500-0201</v>
      </c>
      <c r="B310" s="574" t="s">
        <v>1450</v>
      </c>
      <c r="C310" s="553" t="s">
        <v>976</v>
      </c>
      <c r="D310" s="557" t="s">
        <v>1325</v>
      </c>
      <c r="E310" s="409"/>
      <c r="F310" s="409"/>
    </row>
    <row r="311" spans="1:6" ht="27">
      <c r="A311" s="409" t="str">
        <f t="shared" si="9"/>
        <v>STORE VERTICAL l2693 9010BRI
Mermet satiné 5500-0201</v>
      </c>
      <c r="B311" s="574" t="s">
        <v>1451</v>
      </c>
      <c r="C311" s="553" t="s">
        <v>977</v>
      </c>
      <c r="D311" s="557" t="s">
        <v>1246</v>
      </c>
      <c r="E311" s="409"/>
      <c r="F311" s="409"/>
    </row>
    <row r="312" spans="1:6" ht="27">
      <c r="A312" s="409" t="str">
        <f t="shared" si="9"/>
        <v>STORE VERTICAL l3374 7016MAT 
Mermet satiné 5500-0201</v>
      </c>
      <c r="B312" s="574" t="s">
        <v>1447</v>
      </c>
      <c r="C312" s="553" t="s">
        <v>978</v>
      </c>
      <c r="D312" s="557" t="s">
        <v>1326</v>
      </c>
      <c r="E312" s="409"/>
      <c r="F312" s="409"/>
    </row>
    <row r="313" spans="1:6" ht="27">
      <c r="A313" s="409" t="str">
        <f t="shared" si="9"/>
        <v>STORE VERTICAL l3374 9010BRI
Mermet satiné 5500-0201</v>
      </c>
      <c r="B313" s="574" t="s">
        <v>1453</v>
      </c>
      <c r="C313" s="553" t="s">
        <v>979</v>
      </c>
      <c r="D313" s="557" t="s">
        <v>1248</v>
      </c>
      <c r="E313" s="409"/>
      <c r="F313" s="409"/>
    </row>
    <row r="314" spans="1:6" ht="27">
      <c r="A314" s="409" t="str">
        <f t="shared" si="9"/>
        <v>STORE VERTICAL l3793 7016MAT
Mermet satiné 5500-0201</v>
      </c>
      <c r="B314" s="574" t="s">
        <v>1454</v>
      </c>
      <c r="C314" s="553" t="s">
        <v>980</v>
      </c>
      <c r="D314" s="557" t="s">
        <v>1327</v>
      </c>
      <c r="E314" s="409"/>
      <c r="F314" s="409"/>
    </row>
    <row r="315" spans="1:6" ht="27">
      <c r="A315" s="409" t="str">
        <f t="shared" si="9"/>
        <v>STORE VERTICAL l3793 9010BRI
Mermet satiné 5500-0201</v>
      </c>
      <c r="B315" s="574" t="s">
        <v>1452</v>
      </c>
      <c r="C315" s="553" t="s">
        <v>981</v>
      </c>
      <c r="D315" s="557" t="s">
        <v>1328</v>
      </c>
      <c r="E315" s="409"/>
      <c r="F315" s="409"/>
    </row>
    <row r="316" spans="1:6" ht="27">
      <c r="A316" s="409" t="str">
        <f t="shared" si="9"/>
        <v>STORE VERTICAL l3943 7016MAT
Mermet satiné 5500-0201</v>
      </c>
      <c r="B316" s="574" t="s">
        <v>1455</v>
      </c>
      <c r="C316" s="553" t="s">
        <v>982</v>
      </c>
      <c r="D316" s="557" t="s">
        <v>1329</v>
      </c>
      <c r="E316" s="409"/>
      <c r="F316" s="409"/>
    </row>
    <row r="317" spans="1:6" ht="27">
      <c r="A317" s="409" t="str">
        <f t="shared" si="9"/>
        <v>STORE VERTICAL l3943 9010BRI
Mermet satiné 5500-0201</v>
      </c>
      <c r="B317" s="574" t="s">
        <v>1456</v>
      </c>
      <c r="C317" s="553" t="s">
        <v>983</v>
      </c>
      <c r="D317" s="557" t="s">
        <v>1252</v>
      </c>
      <c r="E317" s="409"/>
      <c r="F317" s="409"/>
    </row>
    <row r="318" spans="1:6" ht="27">
      <c r="A318" s="409" t="str">
        <f t="shared" si="9"/>
        <v>STORE VERTICAL l5043 7016MAT
Mermet satiné 5500-0201</v>
      </c>
      <c r="B318" s="574" t="s">
        <v>1457</v>
      </c>
      <c r="C318" s="553" t="s">
        <v>984</v>
      </c>
      <c r="D318" s="557" t="s">
        <v>1330</v>
      </c>
      <c r="E318" s="409"/>
      <c r="F318" s="409"/>
    </row>
    <row r="319" spans="1:6" ht="27">
      <c r="A319" s="409" t="str">
        <f t="shared" si="9"/>
        <v>STORE VERTICAL l5043 9010BRI
Mermet satiné 5500-0201</v>
      </c>
      <c r="B319" s="574" t="s">
        <v>1458</v>
      </c>
      <c r="C319" s="553" t="s">
        <v>985</v>
      </c>
      <c r="D319" s="557" t="s">
        <v>1254</v>
      </c>
      <c r="E319" s="409"/>
      <c r="F319" s="409"/>
    </row>
    <row r="320" spans="1:6" ht="27">
      <c r="A320" s="409" t="str">
        <f t="shared" si="9"/>
        <v>STORE VERTICAL l5074 7016MAT
Mermet satiné 5500-0201</v>
      </c>
      <c r="B320" s="574" t="s">
        <v>1459</v>
      </c>
      <c r="C320" s="553" t="s">
        <v>986</v>
      </c>
      <c r="D320" s="557" t="s">
        <v>1255</v>
      </c>
      <c r="E320" s="409"/>
      <c r="F320" s="409"/>
    </row>
    <row r="321" spans="1:6" ht="27">
      <c r="A321" s="409" t="str">
        <f t="shared" si="9"/>
        <v>STORE VERTICAL l5074 9010BRI
Mermet satiné 5500-0201</v>
      </c>
      <c r="B321" s="574" t="s">
        <v>1460</v>
      </c>
      <c r="C321" s="553" t="s">
        <v>987</v>
      </c>
      <c r="D321" s="557" t="s">
        <v>1256</v>
      </c>
      <c r="E321" s="409"/>
      <c r="F321" s="409"/>
    </row>
    <row r="322" spans="1:6" ht="27">
      <c r="A322" s="409" t="str">
        <f t="shared" si="9"/>
        <v>STORE VERTICAL l5193 7016MAT
Mermet satiné 5500-0201</v>
      </c>
      <c r="B322" s="574" t="s">
        <v>1461</v>
      </c>
      <c r="C322" s="553" t="s">
        <v>988</v>
      </c>
      <c r="D322" s="557" t="s">
        <v>1257</v>
      </c>
      <c r="E322" s="409"/>
      <c r="F322" s="409"/>
    </row>
    <row r="323" spans="1:6" ht="27">
      <c r="A323" s="409" t="str">
        <f t="shared" si="9"/>
        <v>STORE VERTICAL l5193 9010BRI
Mermet satiné 5500-0201</v>
      </c>
      <c r="B323" s="574" t="s">
        <v>1462</v>
      </c>
      <c r="C323" s="553" t="s">
        <v>989</v>
      </c>
      <c r="D323" s="557" t="s">
        <v>1331</v>
      </c>
      <c r="E323" s="409"/>
      <c r="F323" s="409"/>
    </row>
    <row r="324" spans="1:6">
      <c r="A324" s="409" t="str">
        <f t="shared" si="9"/>
        <v>4 NOIX, BOUCHONS, JOINTS et PASSE-CABLES EN NOIR</v>
      </c>
      <c r="B324" s="425" t="s">
        <v>740</v>
      </c>
      <c r="C324" s="563" t="s">
        <v>1332</v>
      </c>
      <c r="D324" s="557" t="s">
        <v>1333</v>
      </c>
      <c r="E324" s="409"/>
      <c r="F324" s="409"/>
    </row>
    <row r="325" spans="1:6">
      <c r="A325" s="409" t="str">
        <f t="shared" si="9"/>
        <v>4 NOIX, BOUCHONS, JOINTS et PASSE-CABLES EN BLANC</v>
      </c>
      <c r="B325" s="425" t="s">
        <v>1014</v>
      </c>
      <c r="C325" s="563" t="s">
        <v>1334</v>
      </c>
      <c r="D325" s="557" t="s">
        <v>1335</v>
      </c>
      <c r="E325" s="409"/>
      <c r="F325" s="409"/>
    </row>
    <row r="326" spans="1:6">
      <c r="A326" s="409" t="str">
        <f t="shared" si="9"/>
        <v>Kit distributeur</v>
      </c>
      <c r="B326" s="537" t="s">
        <v>994</v>
      </c>
      <c r="C326" s="564" t="s">
        <v>995</v>
      </c>
      <c r="D326" s="557" t="s">
        <v>1336</v>
      </c>
    </row>
    <row r="327" spans="1:6">
      <c r="A327" s="409" t="str">
        <f t="shared" si="9"/>
        <v>FRAIS DE LIVRAISON (FRANCE UNIQUEMENT)</v>
      </c>
      <c r="B327" s="409" t="s">
        <v>996</v>
      </c>
      <c r="C327" s="564" t="s">
        <v>997</v>
      </c>
      <c r="D327" s="557" t="s">
        <v>1337</v>
      </c>
    </row>
    <row r="328" spans="1:6">
      <c r="A328" s="409">
        <f t="shared" si="9"/>
        <v>0</v>
      </c>
      <c r="B328" s="409"/>
      <c r="C328" s="553"/>
      <c r="D328" s="557"/>
    </row>
    <row r="329" spans="1:6">
      <c r="A329" s="409" t="str">
        <f t="shared" si="9"/>
        <v>PG STRUCTURE 3x2 7016 MAT</v>
      </c>
      <c r="B329" s="425" t="s">
        <v>1008</v>
      </c>
      <c r="C329" s="553" t="s">
        <v>1008</v>
      </c>
      <c r="D329" s="557" t="s">
        <v>1338</v>
      </c>
    </row>
    <row r="330" spans="1:6">
      <c r="A330" s="409" t="str">
        <f t="shared" si="9"/>
        <v xml:space="preserve">PG STRUCTURE 3x2 9010 </v>
      </c>
      <c r="B330" s="425" t="s">
        <v>1009</v>
      </c>
      <c r="C330" s="553" t="s">
        <v>1010</v>
      </c>
      <c r="D330" s="557" t="s">
        <v>1339</v>
      </c>
    </row>
    <row r="331" spans="1:6" ht="30">
      <c r="A331" s="409" t="str">
        <f t="shared" si="9"/>
        <v>kit structure pour une pergola 3x2
couleur  : 7016 Mat</v>
      </c>
      <c r="B331" s="425" t="s">
        <v>1012</v>
      </c>
      <c r="C331" s="561" t="s">
        <v>1340</v>
      </c>
      <c r="D331" s="562" t="s">
        <v>1341</v>
      </c>
    </row>
    <row r="332" spans="1:6" ht="30">
      <c r="A332" s="409" t="str">
        <f t="shared" si="9"/>
        <v>kit structure pour une pergola 3x2
couleur  : 9010 brillant</v>
      </c>
      <c r="B332" s="425" t="s">
        <v>1013</v>
      </c>
      <c r="C332" s="561" t="s">
        <v>1342</v>
      </c>
      <c r="D332" s="560" t="s">
        <v>1343</v>
      </c>
    </row>
    <row r="333" spans="1:6">
      <c r="A333" s="409" t="str">
        <f t="shared" si="9"/>
        <v>FRAIS DE LIVRAISON France grande Pergosolar (formats autres que 2x2)</v>
      </c>
      <c r="B333" s="409" t="s">
        <v>1029</v>
      </c>
      <c r="C333" s="559" t="s">
        <v>1344</v>
      </c>
      <c r="D333" s="557" t="s">
        <v>1345</v>
      </c>
    </row>
    <row r="334" spans="1:6">
      <c r="A334" s="409" t="str">
        <f t="shared" si="9"/>
        <v>FRAIS DE LIVRAISON France petite Pergola (format 2X2)</v>
      </c>
      <c r="B334" s="409" t="s">
        <v>1028</v>
      </c>
      <c r="C334" s="559" t="s">
        <v>1346</v>
      </c>
      <c r="D334" s="557" t="s">
        <v>1347</v>
      </c>
    </row>
    <row r="335" spans="1:6">
      <c r="A335" s="409" t="str">
        <f t="shared" si="9"/>
        <v>Surface au sol (m²)</v>
      </c>
      <c r="B335" s="409" t="s">
        <v>1030</v>
      </c>
      <c r="C335" s="553" t="s">
        <v>1031</v>
      </c>
      <c r="D335" s="557" t="s">
        <v>1348</v>
      </c>
    </row>
    <row r="336" spans="1:6">
      <c r="A336" s="409" t="str">
        <f t="shared" si="9"/>
        <v>Puissance crête* (kWc)</v>
      </c>
      <c r="B336" s="86" t="s">
        <v>1032</v>
      </c>
      <c r="C336" s="553" t="s">
        <v>1033</v>
      </c>
      <c r="D336" s="557" t="s">
        <v>1349</v>
      </c>
    </row>
    <row r="337" spans="1:4">
      <c r="A337" s="409" t="str">
        <f t="shared" si="9"/>
        <v>*Puissance du module PV à renseigner dans l'onglet Définition</v>
      </c>
      <c r="B337" s="409" t="s">
        <v>1034</v>
      </c>
      <c r="C337" s="553" t="s">
        <v>1035</v>
      </c>
      <c r="D337" s="557" t="s">
        <v>1350</v>
      </c>
    </row>
    <row r="338" spans="1:4">
      <c r="A338" s="409" t="str">
        <f t="shared" si="9"/>
        <v>L x l x Hauteur 2672mm (Hauteur de pied 2400mm)</v>
      </c>
      <c r="B338" s="409" t="s">
        <v>1036</v>
      </c>
      <c r="C338" s="553" t="s">
        <v>1037</v>
      </c>
      <c r="D338" s="557" t="s">
        <v>1351</v>
      </c>
    </row>
    <row r="339" spans="1:4">
      <c r="A339" s="409" t="str">
        <f t="shared" si="9"/>
        <v>PRIX STRUCTURE SEULE</v>
      </c>
      <c r="B339" s="409" t="s">
        <v>1038</v>
      </c>
      <c r="C339" s="553" t="s">
        <v>1039</v>
      </c>
      <c r="D339" s="557" t="s">
        <v>1352</v>
      </c>
    </row>
    <row r="340" spans="1:4">
      <c r="A340" s="409" t="str">
        <f t="shared" si="9"/>
        <v>Version 2 PIEDS</v>
      </c>
      <c r="B340" s="409" t="s">
        <v>1040</v>
      </c>
      <c r="C340" s="553" t="s">
        <v>1041</v>
      </c>
      <c r="D340" s="557" t="s">
        <v>1353</v>
      </c>
    </row>
    <row r="341" spans="1:4">
      <c r="A341" s="409" t="str">
        <f t="shared" si="9"/>
        <v>Version 4 PIEDS</v>
      </c>
      <c r="B341" s="409" t="s">
        <v>1042</v>
      </c>
      <c r="C341" s="553" t="s">
        <v>1043</v>
      </c>
      <c r="D341" s="557" t="s">
        <v>1354</v>
      </c>
    </row>
    <row r="342" spans="1:4">
      <c r="A342" s="409" t="str">
        <f t="shared" si="9"/>
        <v>PRIX EQUIPEMENT 100% PHOTOVOLTAÏQUE</v>
      </c>
      <c r="B342" s="409" t="s">
        <v>1044</v>
      </c>
      <c r="C342" s="559" t="s">
        <v>1355</v>
      </c>
      <c r="D342" s="557" t="s">
        <v>1356</v>
      </c>
    </row>
    <row r="343" spans="1:4">
      <c r="A343" s="409" t="str">
        <f t="shared" si="9"/>
        <v>(Modules, micro-onduleurs, câbles, coffret de protection)</v>
      </c>
      <c r="B343" s="409" t="s">
        <v>1045</v>
      </c>
      <c r="C343" s="559" t="s">
        <v>1357</v>
      </c>
      <c r="D343" s="557" t="s">
        <v>1358</v>
      </c>
    </row>
    <row r="344" spans="1:4">
      <c r="A344" s="409" t="str">
        <f t="shared" si="9"/>
        <v>Prix Public recommandé</v>
      </c>
      <c r="B344" s="409" t="s">
        <v>1046</v>
      </c>
      <c r="C344" s="553" t="s">
        <v>1047</v>
      </c>
      <c r="D344" s="557" t="s">
        <v>1359</v>
      </c>
    </row>
    <row r="345" spans="1:4">
      <c r="A345" s="409" t="str">
        <f t="shared" si="9"/>
        <v>OPTIONS</v>
      </c>
      <c r="B345" s="409" t="s">
        <v>1048</v>
      </c>
      <c r="C345" s="553" t="s">
        <v>1048</v>
      </c>
      <c r="D345" s="557" t="s">
        <v>1360</v>
      </c>
    </row>
    <row r="346" spans="1:4">
      <c r="A346" s="409" t="str">
        <f t="shared" si="9"/>
        <v>BIOCLIMATIQUE</v>
      </c>
      <c r="B346" s="409" t="s">
        <v>1049</v>
      </c>
      <c r="C346" s="553" t="s">
        <v>1050</v>
      </c>
      <c r="D346" s="557" t="s">
        <v>1361</v>
      </c>
    </row>
    <row r="347" spans="1:4">
      <c r="A347" s="409" t="str">
        <f t="shared" si="9"/>
        <v xml:space="preserve"> (1 rangée de 5 lames + actionneur)</v>
      </c>
      <c r="B347" s="409" t="s">
        <v>1051</v>
      </c>
      <c r="C347" s="553" t="s">
        <v>1052</v>
      </c>
      <c r="D347" s="557" t="s">
        <v>1362</v>
      </c>
    </row>
    <row r="348" spans="1:4">
      <c r="A348" s="409" t="str">
        <f t="shared" si="9"/>
        <v>RUBAN LED</v>
      </c>
      <c r="B348" s="409" t="s">
        <v>1737</v>
      </c>
      <c r="C348" s="553" t="s">
        <v>1053</v>
      </c>
      <c r="D348" s="557" t="s">
        <v>1363</v>
      </c>
    </row>
    <row r="349" spans="1:4">
      <c r="A349" s="409" t="str">
        <f t="shared" si="9"/>
        <v>SPOTS LED ENCASTRABLES</v>
      </c>
      <c r="B349" s="409" t="s">
        <v>1054</v>
      </c>
      <c r="C349" s="553" t="s">
        <v>1055</v>
      </c>
      <c r="D349" s="557" t="s">
        <v>1364</v>
      </c>
    </row>
    <row r="350" spans="1:4">
      <c r="A350" s="409" t="str">
        <f t="shared" si="9"/>
        <v>SCREEN PERIPHERIQUE</v>
      </c>
      <c r="B350" s="409" t="s">
        <v>1056</v>
      </c>
      <c r="C350" s="553" t="s">
        <v>1365</v>
      </c>
      <c r="D350" s="557" t="s">
        <v>1366</v>
      </c>
    </row>
    <row r="351" spans="1:4">
      <c r="A351" s="409" t="str">
        <f t="shared" si="9"/>
        <v>SOUS-FACE</v>
      </c>
      <c r="B351" s="409" t="s">
        <v>1738</v>
      </c>
      <c r="C351" s="553" t="s">
        <v>1057</v>
      </c>
      <c r="D351" s="557" t="s">
        <v>1367</v>
      </c>
    </row>
    <row r="352" spans="1:4">
      <c r="A352" s="409" t="str">
        <f t="shared" ref="A352:A415" si="10">INDEX(B352:F352,$B$1)</f>
        <v xml:space="preserve">à partir de </v>
      </c>
      <c r="B352" s="409" t="s">
        <v>1058</v>
      </c>
      <c r="C352" s="553" t="s">
        <v>1059</v>
      </c>
      <c r="D352" s="557" t="s">
        <v>1368</v>
      </c>
    </row>
    <row r="353" spans="1:4">
      <c r="A353" s="409" t="str">
        <f t="shared" si="10"/>
        <v>TARIF LIVRAISON (France continentale uniquement)</v>
      </c>
      <c r="B353" s="409" t="s">
        <v>1081</v>
      </c>
      <c r="C353" s="553" t="s">
        <v>1079</v>
      </c>
      <c r="D353" s="557" t="s">
        <v>1369</v>
      </c>
    </row>
    <row r="354" spans="1:4">
      <c r="A354" s="409" t="str">
        <f t="shared" si="10"/>
        <v>Base de Tarif Prix Publics hors remise</v>
      </c>
      <c r="B354" s="409" t="s">
        <v>1060</v>
      </c>
      <c r="C354" s="553" t="s">
        <v>1061</v>
      </c>
      <c r="D354" s="557" t="s">
        <v>1370</v>
      </c>
    </row>
    <row r="355" spans="1:4">
      <c r="A355" s="409" t="str">
        <f t="shared" si="10"/>
        <v>Tarifs valables au</v>
      </c>
      <c r="B355" s="409" t="s">
        <v>1062</v>
      </c>
      <c r="C355" s="559" t="s">
        <v>1371</v>
      </c>
      <c r="D355" s="557" t="s">
        <v>1372</v>
      </c>
    </row>
    <row r="356" spans="1:4">
      <c r="A356" s="409" t="str">
        <f t="shared" si="10"/>
        <v>Ce document est purement informatif et ne peut être tenu pour une base contractuelle</v>
      </c>
      <c r="B356" s="409" t="s">
        <v>1063</v>
      </c>
      <c r="C356" s="553" t="s">
        <v>1064</v>
      </c>
      <c r="D356" s="557" t="s">
        <v>1373</v>
      </c>
    </row>
    <row r="357" spans="1:4">
      <c r="A357" s="409" t="str">
        <f t="shared" si="10"/>
        <v>Pour plus de précision, merci de remplir l'onglet "Définition Pergosolar"</v>
      </c>
      <c r="B357" s="409" t="s">
        <v>1065</v>
      </c>
      <c r="C357" s="553" t="s">
        <v>1080</v>
      </c>
      <c r="D357" s="557" t="s">
        <v>1374</v>
      </c>
    </row>
    <row r="358" spans="1:4">
      <c r="A358" s="409" t="str">
        <f t="shared" si="10"/>
        <v xml:space="preserve">Pour tout renseignement, contactez notre service commercial : </v>
      </c>
      <c r="B358" s="409" t="s">
        <v>1066</v>
      </c>
      <c r="C358" s="553" t="s">
        <v>1067</v>
      </c>
      <c r="D358" s="557" t="s">
        <v>1375</v>
      </c>
    </row>
    <row r="359" spans="1:4">
      <c r="A359" s="409" t="str">
        <f t="shared" si="10"/>
        <v xml:space="preserve">commercial.france@irfts.com </v>
      </c>
      <c r="B359" s="653" t="s">
        <v>1068</v>
      </c>
      <c r="C359" s="565" t="s">
        <v>1069</v>
      </c>
      <c r="D359" s="566" t="s">
        <v>1376</v>
      </c>
    </row>
    <row r="360" spans="1:4">
      <c r="A360" s="409" t="str">
        <f t="shared" si="10"/>
        <v>IMPLANTATION ET ORIENTATION DES FORMATS</v>
      </c>
      <c r="B360" s="409" t="s">
        <v>1070</v>
      </c>
      <c r="C360" s="553" t="s">
        <v>1071</v>
      </c>
      <c r="D360" s="557" t="s">
        <v>1377</v>
      </c>
    </row>
    <row r="361" spans="1:4">
      <c r="A361" s="409" t="str">
        <f t="shared" si="10"/>
        <v>modules PV</v>
      </c>
      <c r="B361" s="409" t="s">
        <v>1072</v>
      </c>
      <c r="C361" s="553" t="s">
        <v>1073</v>
      </c>
      <c r="D361" s="557" t="s">
        <v>1378</v>
      </c>
    </row>
    <row r="362" spans="1:4">
      <c r="A362" s="409" t="str">
        <f t="shared" si="10"/>
        <v>Vue rapide - Définition tarifaire PERGOSOLAR IRFTS - Prix Publics HT</v>
      </c>
      <c r="B362" s="409" t="s">
        <v>1082</v>
      </c>
      <c r="C362" s="553" t="s">
        <v>1083</v>
      </c>
      <c r="D362" s="557" t="s">
        <v>1379</v>
      </c>
    </row>
    <row r="363" spans="1:4">
      <c r="A363" s="409" t="str">
        <f t="shared" si="10"/>
        <v>Matériel photovoltaïque</v>
      </c>
      <c r="B363" s="409" t="s">
        <v>1074</v>
      </c>
      <c r="C363" s="559" t="s">
        <v>1380</v>
      </c>
      <c r="D363" s="557" t="s">
        <v>1381</v>
      </c>
    </row>
    <row r="364" spans="1:4">
      <c r="A364" s="409" t="str">
        <f t="shared" si="10"/>
        <v>Référence : module PV de 300 Wc</v>
      </c>
      <c r="B364" s="409" t="s">
        <v>1075</v>
      </c>
      <c r="C364" s="553" t="s">
        <v>1076</v>
      </c>
      <c r="D364" s="557" t="s">
        <v>1382</v>
      </c>
    </row>
    <row r="365" spans="1:4">
      <c r="A365" s="409" t="str">
        <f t="shared" si="10"/>
        <v>Version 100% PV</v>
      </c>
      <c r="B365" s="409" t="s">
        <v>1077</v>
      </c>
      <c r="C365" s="553" t="s">
        <v>1078</v>
      </c>
      <c r="D365" s="557" t="s">
        <v>1383</v>
      </c>
    </row>
    <row r="366" spans="1:4">
      <c r="A366" s="409" t="str">
        <f t="shared" si="10"/>
        <v>Option DAISY Wifi - pilotage par Smartphone</v>
      </c>
      <c r="B366" s="409" t="s">
        <v>1088</v>
      </c>
      <c r="C366" s="553" t="s">
        <v>1384</v>
      </c>
      <c r="D366" s="557" t="s">
        <v>1385</v>
      </c>
    </row>
    <row r="367" spans="1:4">
      <c r="A367" s="409" t="str">
        <f t="shared" si="10"/>
        <v>DAISY Wifi - pilotage par Smartphone</v>
      </c>
      <c r="B367" s="409" t="s">
        <v>1089</v>
      </c>
      <c r="C367" s="553" t="s">
        <v>1090</v>
      </c>
      <c r="D367" s="557" t="s">
        <v>1386</v>
      </c>
    </row>
    <row r="368" spans="1:4">
      <c r="A368" s="409" t="str">
        <f t="shared" si="10"/>
        <v>inclus</v>
      </c>
      <c r="B368" s="409" t="s">
        <v>1095</v>
      </c>
      <c r="C368" s="553" t="s">
        <v>1093</v>
      </c>
      <c r="D368" s="557" t="s">
        <v>1387</v>
      </c>
    </row>
    <row r="369" spans="1:4">
      <c r="A369" s="409" t="str">
        <f t="shared" si="10"/>
        <v>PILOTAGE PAR SMARTPHONE</v>
      </c>
      <c r="B369" s="409" t="s">
        <v>1094</v>
      </c>
      <c r="C369" s="553" t="s">
        <v>1388</v>
      </c>
      <c r="D369" s="557" t="s">
        <v>1389</v>
      </c>
    </row>
    <row r="370" spans="1:4">
      <c r="A370" s="409" t="str">
        <f t="shared" si="10"/>
        <v>KIT JUMELAGE CONFORT 7016 MAT</v>
      </c>
      <c r="B370" s="409" t="s">
        <v>1699</v>
      </c>
      <c r="C370" s="567" t="s">
        <v>1701</v>
      </c>
      <c r="D370" s="655" t="s">
        <v>1911</v>
      </c>
    </row>
    <row r="371" spans="1:4">
      <c r="A371" s="409" t="str">
        <f t="shared" si="10"/>
        <v>KIT JUMELAGE CONFORT 9010 BRI</v>
      </c>
      <c r="B371" s="409" t="s">
        <v>1700</v>
      </c>
      <c r="C371" s="409" t="s">
        <v>1702</v>
      </c>
      <c r="D371" s="409" t="s">
        <v>1912</v>
      </c>
    </row>
    <row r="372" spans="1:4">
      <c r="A372" s="409" t="str">
        <f t="shared" si="10"/>
        <v>CLAUSTRA COULISSANT LAMES OR. 1M 7016M</v>
      </c>
      <c r="B372" s="409" t="s">
        <v>1395</v>
      </c>
      <c r="C372" s="409" t="s">
        <v>1396</v>
      </c>
      <c r="D372" s="409" t="s">
        <v>1913</v>
      </c>
    </row>
    <row r="373" spans="1:4">
      <c r="A373" s="409" t="str">
        <f t="shared" si="10"/>
        <v>CLAUSTRA COULISSANT LAMES OR. 2M 7016M</v>
      </c>
      <c r="B373" s="409" t="s">
        <v>1397</v>
      </c>
      <c r="C373" s="409" t="s">
        <v>1398</v>
      </c>
      <c r="D373" s="409" t="s">
        <v>1914</v>
      </c>
    </row>
    <row r="374" spans="1:4">
      <c r="A374" s="409" t="str">
        <f t="shared" si="10"/>
        <v>CLAUSTRA FIXE LAMES OR. 1M 7016M</v>
      </c>
      <c r="B374" s="409" t="s">
        <v>1399</v>
      </c>
      <c r="C374" s="409" t="s">
        <v>1400</v>
      </c>
      <c r="D374" s="409" t="s">
        <v>1915</v>
      </c>
    </row>
    <row r="375" spans="1:4">
      <c r="A375" s="409" t="str">
        <f t="shared" si="10"/>
        <v>CLAUSTRA FIXE LAMES OR. 2M 7016M</v>
      </c>
      <c r="B375" s="409" t="s">
        <v>1401</v>
      </c>
      <c r="C375" s="409" t="s">
        <v>1402</v>
      </c>
      <c r="D375" s="409" t="s">
        <v>1916</v>
      </c>
    </row>
    <row r="376" spans="1:4" ht="45">
      <c r="A376" s="409" t="str">
        <f t="shared" si="10"/>
        <v>Pour claustra coulissant, ensemble de 1 rail haut et bas 2600 mm avec accessoires de montage 
Couleur 7016 mat (gris)</v>
      </c>
      <c r="B376" s="86" t="s">
        <v>1445</v>
      </c>
      <c r="C376" s="409" t="s">
        <v>1444</v>
      </c>
      <c r="D376" s="409"/>
    </row>
    <row r="377" spans="1:4">
      <c r="A377" s="409" t="str">
        <f t="shared" si="10"/>
        <v xml:space="preserve">ENS RAILS 2600 SUP INF ACC. 7016M </v>
      </c>
      <c r="B377" s="409" t="s">
        <v>1443</v>
      </c>
      <c r="C377" s="409" t="s">
        <v>1403</v>
      </c>
      <c r="D377" s="409" t="s">
        <v>1403</v>
      </c>
    </row>
    <row r="378" spans="1:4">
      <c r="A378" s="409" t="str">
        <f t="shared" si="10"/>
        <v>Quantité totale de Claustra</v>
      </c>
      <c r="B378" s="409" t="s">
        <v>1404</v>
      </c>
      <c r="C378" s="553" t="s">
        <v>1405</v>
      </c>
      <c r="D378" s="553"/>
    </row>
    <row r="379" spans="1:4">
      <c r="A379" s="409" t="str">
        <f t="shared" si="10"/>
        <v>Option Claustra Fixe</v>
      </c>
      <c r="B379" s="87" t="s">
        <v>1406</v>
      </c>
      <c r="C379" s="553" t="s">
        <v>1407</v>
      </c>
      <c r="D379" s="409" t="s">
        <v>1869</v>
      </c>
    </row>
    <row r="380" spans="1:4">
      <c r="A380" s="409" t="str">
        <f t="shared" si="10"/>
        <v>Option Claustra Coulissant</v>
      </c>
      <c r="B380" s="87" t="s">
        <v>1408</v>
      </c>
      <c r="C380" s="553" t="s">
        <v>1409</v>
      </c>
      <c r="D380" s="409" t="s">
        <v>1870</v>
      </c>
    </row>
    <row r="381" spans="1:4">
      <c r="A381" s="409" t="str">
        <f t="shared" si="10"/>
        <v>Longueur du claustra</v>
      </c>
      <c r="B381" s="651" t="s">
        <v>1410</v>
      </c>
      <c r="C381" s="564" t="s">
        <v>1411</v>
      </c>
      <c r="D381" s="409" t="s">
        <v>1872</v>
      </c>
    </row>
    <row r="382" spans="1:4">
      <c r="A382" s="409" t="str">
        <f t="shared" si="10"/>
        <v>Nombre de claustras</v>
      </c>
      <c r="B382" s="87" t="s">
        <v>1413</v>
      </c>
      <c r="C382" s="553" t="s">
        <v>1412</v>
      </c>
      <c r="D382" s="654" t="s">
        <v>1873</v>
      </c>
    </row>
    <row r="383" spans="1:4">
      <c r="A383" s="409" t="str">
        <f t="shared" si="10"/>
        <v>CLAUSTRA FIXE</v>
      </c>
      <c r="B383" s="652" t="s">
        <v>1416</v>
      </c>
      <c r="C383" s="564" t="s">
        <v>1417</v>
      </c>
      <c r="D383" s="409" t="s">
        <v>1874</v>
      </c>
    </row>
    <row r="384" spans="1:4">
      <c r="A384" s="409" t="str">
        <f t="shared" si="10"/>
        <v>CLAUSTRA COULISSANT</v>
      </c>
      <c r="B384" s="652" t="s">
        <v>1418</v>
      </c>
      <c r="C384" s="564" t="s">
        <v>1419</v>
      </c>
      <c r="D384" s="409" t="s">
        <v>1875</v>
      </c>
    </row>
    <row r="385" spans="1:4">
      <c r="A385" s="409" t="str">
        <f t="shared" si="10"/>
        <v xml:space="preserve">KIT JUMELAGE </v>
      </c>
      <c r="B385" s="409" t="s">
        <v>1420</v>
      </c>
      <c r="C385" s="564" t="s">
        <v>1390</v>
      </c>
      <c r="D385" s="409" t="s">
        <v>1876</v>
      </c>
    </row>
    <row r="386" spans="1:4">
      <c r="A386" s="409" t="str">
        <f t="shared" si="10"/>
        <v>BELGIQUE / LUXEMBOURG</v>
      </c>
      <c r="B386" s="409" t="s">
        <v>1421</v>
      </c>
      <c r="C386" s="553" t="s">
        <v>1422</v>
      </c>
      <c r="D386" s="553" t="s">
        <v>1423</v>
      </c>
    </row>
    <row r="387" spans="1:4">
      <c r="A387" s="409" t="str">
        <f t="shared" si="10"/>
        <v>FRANCE CONTINENTALE</v>
      </c>
      <c r="B387" s="652" t="s">
        <v>1424</v>
      </c>
      <c r="C387" s="564" t="s">
        <v>1425</v>
      </c>
      <c r="D387" s="409" t="s">
        <v>1426</v>
      </c>
    </row>
    <row r="388" spans="1:4">
      <c r="A388" s="409" t="str">
        <f t="shared" si="10"/>
        <v>(disponible uniquement en France continentale, Belgique et Luxembourg)</v>
      </c>
      <c r="B388" s="409" t="s">
        <v>1427</v>
      </c>
      <c r="C388" s="564" t="s">
        <v>1433</v>
      </c>
      <c r="D388" s="409" t="s">
        <v>1431</v>
      </c>
    </row>
    <row r="389" spans="1:4">
      <c r="A389" s="409" t="str">
        <f t="shared" si="10"/>
        <v>Lieu de livraison :</v>
      </c>
      <c r="B389" s="409" t="s">
        <v>1428</v>
      </c>
      <c r="C389" s="409" t="s">
        <v>1429</v>
      </c>
      <c r="D389" s="409" t="s">
        <v>1430</v>
      </c>
    </row>
    <row r="390" spans="1:4">
      <c r="A390" s="409" t="str">
        <f t="shared" si="10"/>
        <v>Forfait Belgique/Luxembourg</v>
      </c>
      <c r="B390" s="409" t="s">
        <v>1437</v>
      </c>
      <c r="C390" s="409" t="s">
        <v>1438</v>
      </c>
      <c r="D390" s="651" t="s">
        <v>1439</v>
      </c>
    </row>
    <row r="391" spans="1:4">
      <c r="A391" s="409" t="str">
        <f t="shared" si="10"/>
        <v>3/Nomenclature IRFTS.</v>
      </c>
      <c r="B391" s="409" t="s">
        <v>1440</v>
      </c>
      <c r="C391" s="553" t="s">
        <v>1441</v>
      </c>
      <c r="D391" s="553" t="s">
        <v>1442</v>
      </c>
    </row>
    <row r="392" spans="1:4">
      <c r="A392" s="409" t="str">
        <f t="shared" si="10"/>
        <v>NOMENCLATURE PERGOSOLAR CONFORT</v>
      </c>
      <c r="B392" s="651" t="s">
        <v>1494</v>
      </c>
      <c r="C392" s="651" t="s">
        <v>1496</v>
      </c>
      <c r="D392" s="651" t="s">
        <v>1498</v>
      </c>
    </row>
    <row r="393" spans="1:4">
      <c r="A393" s="409" t="str">
        <f t="shared" si="10"/>
        <v>NOMENCLATURE PERGOSOLAR HARMONY</v>
      </c>
      <c r="B393" s="651" t="s">
        <v>1495</v>
      </c>
      <c r="C393" s="651" t="s">
        <v>1497</v>
      </c>
      <c r="D393" s="651" t="s">
        <v>1499</v>
      </c>
    </row>
    <row r="394" spans="1:4">
      <c r="A394" s="409" t="str">
        <f t="shared" si="10"/>
        <v>Dimensions du module PV</v>
      </c>
      <c r="B394" s="651" t="s">
        <v>1500</v>
      </c>
      <c r="C394" s="651" t="s">
        <v>1501</v>
      </c>
      <c r="D394" s="651" t="s">
        <v>1502</v>
      </c>
    </row>
    <row r="395" spans="1:4">
      <c r="A395" s="409" t="str">
        <f t="shared" si="10"/>
        <v>Longueur du module PV (mm)</v>
      </c>
      <c r="B395" s="651" t="s">
        <v>1503</v>
      </c>
      <c r="C395" s="651" t="s">
        <v>1507</v>
      </c>
      <c r="D395" s="651" t="s">
        <v>1510</v>
      </c>
    </row>
    <row r="396" spans="1:4">
      <c r="A396" s="409" t="str">
        <f t="shared" si="10"/>
        <v>Largeur du module PV (mm)</v>
      </c>
      <c r="B396" s="651" t="s">
        <v>1504</v>
      </c>
      <c r="C396" s="651" t="s">
        <v>1509</v>
      </c>
      <c r="D396" s="651" t="s">
        <v>1511</v>
      </c>
    </row>
    <row r="397" spans="1:4">
      <c r="A397" s="409" t="str">
        <f t="shared" si="10"/>
        <v>Epaisseur du module PV (mm)</v>
      </c>
      <c r="B397" s="409" t="s">
        <v>1505</v>
      </c>
      <c r="C397" s="651" t="s">
        <v>1508</v>
      </c>
      <c r="D397" s="409" t="s">
        <v>1512</v>
      </c>
    </row>
    <row r="398" spans="1:4">
      <c r="A398" s="409" t="str">
        <f t="shared" si="10"/>
        <v>Modèle de PERGOSOLAR</v>
      </c>
      <c r="B398" s="409" t="s">
        <v>1506</v>
      </c>
      <c r="C398" s="651" t="s">
        <v>1514</v>
      </c>
      <c r="D398" s="651" t="s">
        <v>1513</v>
      </c>
    </row>
    <row r="399" spans="1:4">
      <c r="A399" s="409" t="str">
        <f t="shared" si="10"/>
        <v>MODULE PV</v>
      </c>
      <c r="B399" s="409" t="s">
        <v>1523</v>
      </c>
      <c r="C399" s="651" t="s">
        <v>1524</v>
      </c>
      <c r="D399" s="651" t="s">
        <v>1525</v>
      </c>
    </row>
    <row r="400" spans="1:4">
      <c r="A400" s="409" t="str">
        <f t="shared" si="10"/>
        <v>VERIFICATION MECANIQUE</v>
      </c>
      <c r="B400" s="409" t="s">
        <v>1527</v>
      </c>
      <c r="C400" s="651" t="s">
        <v>1528</v>
      </c>
      <c r="D400" s="651" t="s">
        <v>1528</v>
      </c>
    </row>
    <row r="401" spans="1:4">
      <c r="A401" s="409" t="str">
        <f t="shared" si="10"/>
        <v>PG HARMONY STRUCTURE 2x2 7016 MAT</v>
      </c>
      <c r="B401" s="425" t="s">
        <v>1536</v>
      </c>
      <c r="C401" s="553" t="s">
        <v>1536</v>
      </c>
      <c r="D401" s="557" t="s">
        <v>1546</v>
      </c>
    </row>
    <row r="402" spans="1:4">
      <c r="A402" s="409" t="str">
        <f t="shared" si="10"/>
        <v>PG HARMONY STRUCTURE 2x2 9010 BRILLANT</v>
      </c>
      <c r="B402" s="425" t="s">
        <v>1596</v>
      </c>
      <c r="C402" s="553" t="s">
        <v>1537</v>
      </c>
      <c r="D402" s="557" t="s">
        <v>1547</v>
      </c>
    </row>
    <row r="403" spans="1:4">
      <c r="A403" s="409" t="str">
        <f t="shared" si="10"/>
        <v>PG HARMONY STRUCTURE 2x3 7016 MAT</v>
      </c>
      <c r="B403" s="425" t="s">
        <v>1538</v>
      </c>
      <c r="C403" s="553" t="s">
        <v>1538</v>
      </c>
      <c r="D403" s="557" t="s">
        <v>1548</v>
      </c>
    </row>
    <row r="404" spans="1:4">
      <c r="A404" s="409" t="str">
        <f t="shared" si="10"/>
        <v>PG HARMONY STRUCTURE 2x3 9010 BRILLANT</v>
      </c>
      <c r="B404" s="425" t="s">
        <v>1597</v>
      </c>
      <c r="C404" s="553" t="s">
        <v>1539</v>
      </c>
      <c r="D404" s="557" t="s">
        <v>1549</v>
      </c>
    </row>
    <row r="405" spans="1:4" s="408" customFormat="1">
      <c r="A405" s="409" t="str">
        <f t="shared" ref="A405:A406" si="11">INDEX(B405:F405,$B$1)</f>
        <v>PG HARMONY STRUCTURE 3x2 7016 MAT</v>
      </c>
      <c r="B405" s="425" t="s">
        <v>1556</v>
      </c>
      <c r="C405" s="553" t="s">
        <v>1556</v>
      </c>
      <c r="D405" s="557" t="s">
        <v>1558</v>
      </c>
    </row>
    <row r="406" spans="1:4" s="408" customFormat="1">
      <c r="A406" s="409" t="str">
        <f t="shared" si="11"/>
        <v xml:space="preserve">PG HARMONY STRUCTURE 3x2 9010 </v>
      </c>
      <c r="B406" s="425" t="s">
        <v>1598</v>
      </c>
      <c r="C406" s="553" t="s">
        <v>1557</v>
      </c>
      <c r="D406" s="557" t="s">
        <v>1559</v>
      </c>
    </row>
    <row r="407" spans="1:4">
      <c r="A407" s="409" t="str">
        <f t="shared" si="10"/>
        <v>PG HARMONY STRUCTURE 3x3 7016 MAT</v>
      </c>
      <c r="B407" s="425" t="s">
        <v>1540</v>
      </c>
      <c r="C407" s="553" t="s">
        <v>1540</v>
      </c>
      <c r="D407" s="557" t="s">
        <v>1550</v>
      </c>
    </row>
    <row r="408" spans="1:4">
      <c r="A408" s="409" t="str">
        <f t="shared" si="10"/>
        <v>PG HARMONY STRUCTURE 3x3 9010 BRILLANT</v>
      </c>
      <c r="B408" s="425" t="s">
        <v>1599</v>
      </c>
      <c r="C408" s="553" t="s">
        <v>1541</v>
      </c>
      <c r="D408" s="557" t="s">
        <v>1551</v>
      </c>
    </row>
    <row r="409" spans="1:4">
      <c r="A409" s="409" t="str">
        <f t="shared" si="10"/>
        <v>PG HARMONY STRUCTURE 4x2 7016 MAT</v>
      </c>
      <c r="B409" s="425" t="s">
        <v>1542</v>
      </c>
      <c r="C409" s="553" t="s">
        <v>1542</v>
      </c>
      <c r="D409" s="557" t="s">
        <v>1552</v>
      </c>
    </row>
    <row r="410" spans="1:4">
      <c r="A410" s="409" t="str">
        <f t="shared" si="10"/>
        <v>PG HARMONY STRUCTURE 4x2 9010 BRILLANT</v>
      </c>
      <c r="B410" s="425" t="s">
        <v>1600</v>
      </c>
      <c r="C410" s="553" t="s">
        <v>1543</v>
      </c>
      <c r="D410" s="557" t="s">
        <v>1553</v>
      </c>
    </row>
    <row r="411" spans="1:4">
      <c r="A411" s="409" t="str">
        <f t="shared" si="10"/>
        <v>PG HARMONY STRUCTURE 4x3 7016 MAT</v>
      </c>
      <c r="B411" s="425" t="s">
        <v>1544</v>
      </c>
      <c r="C411" s="553" t="s">
        <v>1544</v>
      </c>
      <c r="D411" s="557" t="s">
        <v>1554</v>
      </c>
    </row>
    <row r="412" spans="1:4">
      <c r="A412" s="409" t="str">
        <f t="shared" si="10"/>
        <v>PG HARMONY STRUCTURE 4x3 9010 BRILLANT</v>
      </c>
      <c r="B412" s="425" t="s">
        <v>1601</v>
      </c>
      <c r="C412" s="553" t="s">
        <v>1545</v>
      </c>
      <c r="D412" s="557" t="s">
        <v>1555</v>
      </c>
    </row>
    <row r="413" spans="1:4" ht="30">
      <c r="A413" s="409" t="str">
        <f t="shared" si="10"/>
        <v>kit structure pour une pergola HARMONY 2x2
couleur  : 7016 Mat</v>
      </c>
      <c r="B413" s="425" t="s">
        <v>1560</v>
      </c>
      <c r="C413" s="561" t="s">
        <v>1572</v>
      </c>
      <c r="D413" s="562" t="s">
        <v>1584</v>
      </c>
    </row>
    <row r="414" spans="1:4" ht="30">
      <c r="A414" s="409" t="str">
        <f t="shared" si="10"/>
        <v>kit structure pour une pergola HARMONY 2x2
couleur  : 9010 brillant</v>
      </c>
      <c r="B414" s="425" t="s">
        <v>1561</v>
      </c>
      <c r="C414" s="561" t="s">
        <v>1573</v>
      </c>
      <c r="D414" s="562" t="s">
        <v>1585</v>
      </c>
    </row>
    <row r="415" spans="1:4" ht="30">
      <c r="A415" s="409" t="str">
        <f t="shared" si="10"/>
        <v>kit structure pour une pergola HARMONY 2x3
couleur  : 7016 Mat</v>
      </c>
      <c r="B415" s="425" t="s">
        <v>1562</v>
      </c>
      <c r="C415" s="561" t="s">
        <v>1574</v>
      </c>
      <c r="D415" s="562" t="s">
        <v>1586</v>
      </c>
    </row>
    <row r="416" spans="1:4" ht="30">
      <c r="A416" s="409" t="str">
        <f t="shared" ref="A416:A481" si="12">INDEX(B416:F416,$B$1)</f>
        <v>kit structure pour une pergola HARMONY 2x3
couleur  : 9010 brillant</v>
      </c>
      <c r="B416" s="425" t="s">
        <v>1563</v>
      </c>
      <c r="C416" s="561" t="s">
        <v>1575</v>
      </c>
      <c r="D416" s="562" t="s">
        <v>1587</v>
      </c>
    </row>
    <row r="417" spans="1:5" s="408" customFormat="1" ht="30">
      <c r="A417" s="409" t="str">
        <f t="shared" si="12"/>
        <v>kit structure pour une pergola HARMONY 3x2
couleur  : 7016 Mat</v>
      </c>
      <c r="B417" s="425" t="s">
        <v>1564</v>
      </c>
      <c r="C417" s="561" t="s">
        <v>1576</v>
      </c>
      <c r="D417" s="562" t="s">
        <v>1588</v>
      </c>
    </row>
    <row r="418" spans="1:5" s="408" customFormat="1" ht="30">
      <c r="A418" s="409" t="str">
        <f t="shared" si="12"/>
        <v>kit structure pour une pergola HARMONY 3x2
couleur  : 9010 brillant</v>
      </c>
      <c r="B418" s="425" t="s">
        <v>1565</v>
      </c>
      <c r="C418" s="561" t="s">
        <v>1577</v>
      </c>
      <c r="D418" s="560" t="s">
        <v>1589</v>
      </c>
    </row>
    <row r="419" spans="1:5" ht="30">
      <c r="A419" s="409" t="str">
        <f t="shared" si="12"/>
        <v>kit structure pour une pergola HARMONY 3x3
couleur  : 7016 Mat</v>
      </c>
      <c r="B419" s="425" t="s">
        <v>1566</v>
      </c>
      <c r="C419" s="561" t="s">
        <v>1578</v>
      </c>
      <c r="D419" s="562" t="s">
        <v>1590</v>
      </c>
    </row>
    <row r="420" spans="1:5" ht="30">
      <c r="A420" s="409" t="str">
        <f t="shared" si="12"/>
        <v>kit structure pour une pergola HARMONY 3x3
couleur  : 9010 brillant</v>
      </c>
      <c r="B420" s="425" t="s">
        <v>1567</v>
      </c>
      <c r="C420" s="561" t="s">
        <v>1579</v>
      </c>
      <c r="D420" s="562" t="s">
        <v>1591</v>
      </c>
    </row>
    <row r="421" spans="1:5" ht="30">
      <c r="A421" s="409" t="str">
        <f t="shared" si="12"/>
        <v>kit structure pour une pergola HARMONY 4x2
couleur  : 7016 Mat</v>
      </c>
      <c r="B421" s="425" t="s">
        <v>1568</v>
      </c>
      <c r="C421" s="561" t="s">
        <v>1580</v>
      </c>
      <c r="D421" s="562" t="s">
        <v>1592</v>
      </c>
    </row>
    <row r="422" spans="1:5" ht="30">
      <c r="A422" s="409" t="str">
        <f t="shared" si="12"/>
        <v>kit structure pour une pergola HARMONY 4x2
couleur  : 9010 brillant</v>
      </c>
      <c r="B422" s="425" t="s">
        <v>1569</v>
      </c>
      <c r="C422" s="561" t="s">
        <v>1581</v>
      </c>
      <c r="D422" s="562" t="s">
        <v>1593</v>
      </c>
    </row>
    <row r="423" spans="1:5" ht="30">
      <c r="A423" s="409" t="str">
        <f t="shared" si="12"/>
        <v>kit structure pour une pergola HARMONY 4x3
couleur  : 7016 Mat</v>
      </c>
      <c r="B423" s="425" t="s">
        <v>1570</v>
      </c>
      <c r="C423" s="561" t="s">
        <v>1582</v>
      </c>
      <c r="D423" s="562" t="s">
        <v>1594</v>
      </c>
    </row>
    <row r="424" spans="1:5" ht="30">
      <c r="A424" s="409" t="str">
        <f t="shared" si="12"/>
        <v>kit structure pour une pergola HARMONY 4x3
couleur  : 9010 brillant</v>
      </c>
      <c r="B424" s="627" t="s">
        <v>1571</v>
      </c>
      <c r="C424" s="628" t="s">
        <v>1583</v>
      </c>
      <c r="D424" s="629" t="s">
        <v>1595</v>
      </c>
    </row>
    <row r="425" spans="1:5">
      <c r="A425" s="409" t="str">
        <f t="shared" si="12"/>
        <v>PG 1 LIGNE BC 1x2 3652mm 7016 MAT</v>
      </c>
      <c r="B425" s="409" t="s">
        <v>1602</v>
      </c>
      <c r="C425" s="409" t="s">
        <v>1603</v>
      </c>
      <c r="D425" s="409" t="s">
        <v>1657</v>
      </c>
      <c r="E425" s="409"/>
    </row>
    <row r="426" spans="1:5">
      <c r="A426" s="409" t="str">
        <f t="shared" si="12"/>
        <v>PG 1 LIGNE BC 1x2 3652mm 9010 BRILLANT</v>
      </c>
      <c r="B426" s="409" t="s">
        <v>1605</v>
      </c>
      <c r="C426" s="409" t="s">
        <v>1606</v>
      </c>
      <c r="D426" s="409" t="s">
        <v>1646</v>
      </c>
      <c r="E426" s="409"/>
    </row>
    <row r="427" spans="1:5" ht="54">
      <c r="A427" s="409" t="str">
        <f t="shared" si="12"/>
        <v>kit de 5 lames  = "1 ligne" L3652mm , pour une pergola de 2 modules de large
Lames  : Blanches 9010 mat
Autres pièces en gris 7016 Mat</v>
      </c>
      <c r="B427" s="425" t="s">
        <v>1607</v>
      </c>
      <c r="C427" s="561" t="s">
        <v>1609</v>
      </c>
      <c r="D427" s="562" t="s">
        <v>1611</v>
      </c>
      <c r="E427" s="409"/>
    </row>
    <row r="428" spans="1:5" ht="54">
      <c r="A428" s="409" t="str">
        <f t="shared" si="12"/>
        <v>kit de 5 lames  = "1 lignes" L3652mm, pour une pergola de 2 modules de large
Lames  : Blanches 9010 brillant
Autres pièces en ral 9010 Brillant</v>
      </c>
      <c r="B428" s="425" t="s">
        <v>1608</v>
      </c>
      <c r="C428" s="561" t="s">
        <v>1610</v>
      </c>
      <c r="D428" s="562" t="s">
        <v>1612</v>
      </c>
      <c r="E428" s="409"/>
    </row>
    <row r="429" spans="1:5" ht="54">
      <c r="A429" s="409" t="str">
        <f t="shared" si="12"/>
        <v>kit de 5 lames  = "1 ligne" L5452mm, pour une pergola de 3 modules de large
Lames  : Blanches 7016 mat
Autres pièces en ral gris 7016 Mat</v>
      </c>
      <c r="B429" s="425" t="s">
        <v>1613</v>
      </c>
      <c r="C429" s="561" t="s">
        <v>1615</v>
      </c>
      <c r="D429" s="562" t="s">
        <v>1617</v>
      </c>
      <c r="E429" s="409"/>
    </row>
    <row r="430" spans="1:5" ht="54">
      <c r="A430" s="409" t="str">
        <f t="shared" si="12"/>
        <v>kit de 5 lames  = "1 ligne" L5452mm, pour une pergola de 3 modules de large
Lames  : Blanches 9010 brillant
Autres pièces en ral  9010 Brillant</v>
      </c>
      <c r="B430" s="425" t="s">
        <v>1614</v>
      </c>
      <c r="C430" s="561" t="s">
        <v>1616</v>
      </c>
      <c r="D430" s="562" t="s">
        <v>1618</v>
      </c>
      <c r="E430" s="409"/>
    </row>
    <row r="431" spans="1:5">
      <c r="A431" s="409" t="str">
        <f t="shared" si="12"/>
        <v>PG 1 LIGNE BC 1x3 5452mm 7016 MAT</v>
      </c>
      <c r="B431" s="409" t="s">
        <v>1619</v>
      </c>
      <c r="C431" s="409" t="s">
        <v>1621</v>
      </c>
      <c r="D431" s="409" t="s">
        <v>1655</v>
      </c>
      <c r="E431" s="409"/>
    </row>
    <row r="432" spans="1:5">
      <c r="A432" s="409" t="str">
        <f t="shared" si="12"/>
        <v>PG 1 LIGNE BC 1x3 5452mm 9010 BRILLANT</v>
      </c>
      <c r="B432" s="409" t="s">
        <v>1620</v>
      </c>
      <c r="C432" s="409" t="s">
        <v>1622</v>
      </c>
      <c r="D432" s="409" t="s">
        <v>1647</v>
      </c>
      <c r="E432" s="409"/>
    </row>
    <row r="433" spans="1:5">
      <c r="A433" s="409" t="str">
        <f t="shared" si="12"/>
        <v>PG ACC 1 SOUS FACE 1019mm 7016 MAT</v>
      </c>
      <c r="B433" s="409" t="s">
        <v>1626</v>
      </c>
      <c r="C433" s="409" t="s">
        <v>1627</v>
      </c>
      <c r="D433" s="557" t="s">
        <v>1630</v>
      </c>
      <c r="E433" s="409"/>
    </row>
    <row r="434" spans="1:5">
      <c r="A434" s="409" t="str">
        <f t="shared" si="12"/>
        <v>PG ACC 1 SOUS FACE 1019mm 9010 BRILLANT</v>
      </c>
      <c r="B434" s="409" t="s">
        <v>1628</v>
      </c>
      <c r="C434" s="409" t="s">
        <v>1629</v>
      </c>
      <c r="D434" s="557" t="s">
        <v>1631</v>
      </c>
      <c r="E434" s="409"/>
    </row>
    <row r="435" spans="1:5">
      <c r="A435" s="409" t="str">
        <f t="shared" si="12"/>
        <v>kit de fixation de sous-face (pour une plaque), 1019mm, en ral 7016 Mat</v>
      </c>
      <c r="B435" s="425" t="s">
        <v>1632</v>
      </c>
      <c r="C435" s="559" t="s">
        <v>1634</v>
      </c>
      <c r="D435" s="557" t="s">
        <v>1636</v>
      </c>
      <c r="E435" s="409"/>
    </row>
    <row r="436" spans="1:5">
      <c r="A436" s="409" t="str">
        <f t="shared" si="12"/>
        <v>kit de fixation de sous-face (pour une plaque), 1019mm, en ral 9010 Brillant</v>
      </c>
      <c r="B436" s="425" t="s">
        <v>1633</v>
      </c>
      <c r="C436" s="559" t="s">
        <v>1635</v>
      </c>
      <c r="D436" s="557" t="s">
        <v>1637</v>
      </c>
      <c r="E436" s="409"/>
    </row>
    <row r="437" spans="1:5">
      <c r="A437" s="409" t="str">
        <f t="shared" si="12"/>
        <v>PG 1 LIGNE PV 1x2 3640mm 7016 MAT</v>
      </c>
      <c r="B437" s="409" t="s">
        <v>1642</v>
      </c>
      <c r="C437" s="409" t="s">
        <v>1644</v>
      </c>
      <c r="D437" s="409" t="s">
        <v>1656</v>
      </c>
      <c r="E437" s="409"/>
    </row>
    <row r="438" spans="1:5">
      <c r="A438" s="409" t="str">
        <f t="shared" si="12"/>
        <v>PG 1 LIGNE PV 1x2 3640mm 9010 BRILLANT</v>
      </c>
      <c r="B438" s="409" t="s">
        <v>1643</v>
      </c>
      <c r="C438" s="409" t="s">
        <v>1645</v>
      </c>
      <c r="D438" s="409" t="s">
        <v>1648</v>
      </c>
      <c r="E438" s="409"/>
    </row>
    <row r="439" spans="1:5">
      <c r="A439" s="409" t="str">
        <f t="shared" si="12"/>
        <v>PG 1 LIGNE PV 1x3 5440mm 7016 MAT</v>
      </c>
      <c r="B439" s="409" t="s">
        <v>1664</v>
      </c>
      <c r="C439" s="409" t="s">
        <v>1666</v>
      </c>
      <c r="D439" s="409" t="s">
        <v>1668</v>
      </c>
      <c r="E439" s="409"/>
    </row>
    <row r="440" spans="1:5">
      <c r="A440" s="409" t="str">
        <f t="shared" si="12"/>
        <v>PG 1 LIGNE PV 1x3 5440mm 9010 BRILLANT</v>
      </c>
      <c r="B440" s="409" t="s">
        <v>1665</v>
      </c>
      <c r="C440" s="409" t="s">
        <v>1667</v>
      </c>
      <c r="D440" s="409" t="s">
        <v>1669</v>
      </c>
      <c r="E440" s="409"/>
    </row>
    <row r="441" spans="1:5" ht="40.5">
      <c r="A441" s="409" t="str">
        <f t="shared" si="12"/>
        <v>kit pour 1 ligne de panneaux photovoltaiques L3640mm, pour pergola de 2 modules de large
couleur  : ral 7016 Mat</v>
      </c>
      <c r="B441" s="425" t="s">
        <v>1649</v>
      </c>
      <c r="C441" s="561" t="s">
        <v>1651</v>
      </c>
      <c r="D441" s="557" t="s">
        <v>1653</v>
      </c>
      <c r="E441" s="409"/>
    </row>
    <row r="442" spans="1:5" ht="40.5">
      <c r="A442" s="409" t="str">
        <f t="shared" si="12"/>
        <v>kit pour 1 ligne de panneaux photovoltaiques L3640mm, pour pergola de 2 modules de large
couleur  : ral 9010 Brillant</v>
      </c>
      <c r="B442" s="425" t="s">
        <v>1650</v>
      </c>
      <c r="C442" s="561" t="s">
        <v>1652</v>
      </c>
      <c r="D442" s="557" t="s">
        <v>1654</v>
      </c>
      <c r="E442" s="409"/>
    </row>
    <row r="443" spans="1:5" ht="40.5">
      <c r="A443" s="409" t="str">
        <f t="shared" si="12"/>
        <v>kit pour 1 ligne de panneaux photovoltaiques L5440mm, pour pergola de 3 modules de large
couleur  : ral 7016 Mat</v>
      </c>
      <c r="B443" s="425" t="s">
        <v>1658</v>
      </c>
      <c r="C443" s="561" t="s">
        <v>1660</v>
      </c>
      <c r="D443" s="557" t="s">
        <v>1662</v>
      </c>
      <c r="E443" s="409"/>
    </row>
    <row r="444" spans="1:5" ht="40.5">
      <c r="A444" s="409" t="str">
        <f t="shared" si="12"/>
        <v>kit pour 1 ligne de panneaux photovoltaiques L5440mm, pour pergola de 3 modules de large
couleur  : ral 9010 Brillant</v>
      </c>
      <c r="B444" s="425" t="s">
        <v>1659</v>
      </c>
      <c r="C444" s="561" t="s">
        <v>1661</v>
      </c>
      <c r="D444" s="557" t="s">
        <v>1663</v>
      </c>
      <c r="E444" s="409"/>
    </row>
    <row r="445" spans="1:5">
      <c r="A445" s="409" t="str">
        <f t="shared" si="12"/>
        <v>PG KIT RUBANS LED 24M 3200°K + E/R</v>
      </c>
      <c r="B445" s="409" t="s">
        <v>1670</v>
      </c>
      <c r="C445" s="553" t="s">
        <v>1671</v>
      </c>
      <c r="D445" s="557" t="s">
        <v>1672</v>
      </c>
      <c r="E445" s="409"/>
    </row>
    <row r="446" spans="1:5">
      <c r="A446" s="409" t="str">
        <f t="shared" si="12"/>
        <v>Kit LED en ruban 24m + ALIM + récepteur + télécommande</v>
      </c>
      <c r="B446" s="425" t="s">
        <v>1673</v>
      </c>
      <c r="C446" s="559" t="s">
        <v>1674</v>
      </c>
      <c r="D446" s="557" t="s">
        <v>1675</v>
      </c>
      <c r="E446" s="409"/>
    </row>
    <row r="447" spans="1:5">
      <c r="A447" s="409" t="str">
        <f t="shared" si="12"/>
        <v>PG SOUS FACE x2 CLASSIC - HARMONY</v>
      </c>
      <c r="B447" s="409" t="s">
        <v>1678</v>
      </c>
      <c r="C447" s="409" t="s">
        <v>1680</v>
      </c>
      <c r="D447" s="409" t="s">
        <v>1682</v>
      </c>
      <c r="E447" s="409"/>
    </row>
    <row r="448" spans="1:5">
      <c r="A448" s="409" t="str">
        <f t="shared" si="12"/>
        <v>PG SOUS FACE x3 CLASSIC - HARMONY</v>
      </c>
      <c r="B448" s="409" t="s">
        <v>1679</v>
      </c>
      <c r="C448" s="409" t="s">
        <v>1681</v>
      </c>
      <c r="D448" s="409" t="s">
        <v>1683</v>
      </c>
      <c r="E448" s="409"/>
    </row>
    <row r="449" spans="1:5">
      <c r="A449" s="409" t="str">
        <f t="shared" si="12"/>
        <v>plaque de makrolon 1048 x 2680 x 16 mm</v>
      </c>
      <c r="B449" s="425" t="s">
        <v>1687</v>
      </c>
      <c r="C449" s="559" t="s">
        <v>1688</v>
      </c>
      <c r="D449" s="557" t="s">
        <v>1689</v>
      </c>
      <c r="E449" s="409"/>
    </row>
    <row r="450" spans="1:5">
      <c r="A450" s="409" t="str">
        <f t="shared" si="12"/>
        <v>plaque de makrolon 1048 x 3590 x 16 mm</v>
      </c>
      <c r="B450" s="425" t="s">
        <v>1692</v>
      </c>
      <c r="C450" s="559" t="s">
        <v>1691</v>
      </c>
      <c r="D450" s="557" t="s">
        <v>1690</v>
      </c>
      <c r="E450" s="409"/>
    </row>
    <row r="451" spans="1:5">
      <c r="A451" s="409" t="str">
        <f t="shared" si="12"/>
        <v>PG KIT JUMELAGE 7016 MAT</v>
      </c>
      <c r="B451" s="409" t="s">
        <v>1695</v>
      </c>
      <c r="C451" s="564" t="s">
        <v>1697</v>
      </c>
      <c r="D451" s="567" t="s">
        <v>1911</v>
      </c>
      <c r="E451" s="409"/>
    </row>
    <row r="452" spans="1:5">
      <c r="A452" s="409" t="str">
        <f t="shared" si="12"/>
        <v>PG KIT JUMELAGE 9010 BRI</v>
      </c>
      <c r="B452" s="409" t="s">
        <v>1696</v>
      </c>
      <c r="C452" s="409" t="s">
        <v>1698</v>
      </c>
      <c r="D452" s="409" t="s">
        <v>1912</v>
      </c>
      <c r="E452" s="409"/>
    </row>
    <row r="453" spans="1:5">
      <c r="A453" s="409" t="str">
        <f t="shared" si="12"/>
        <v>Chiffrage STORE actuellement indisponible pour PERGOSOLAR HARMONY, merci de nous contacter</v>
      </c>
      <c r="B453" s="409" t="s">
        <v>1712</v>
      </c>
      <c r="C453" s="409" t="s">
        <v>1711</v>
      </c>
      <c r="D453" s="409"/>
      <c r="E453" s="409"/>
    </row>
    <row r="454" spans="1:5">
      <c r="A454" s="409" t="str">
        <f t="shared" si="12"/>
        <v>Chiffrage CLAUSTRA COULISSANTE actuellement indisponible pour PERGOSOLAR HARMONY, merci de nous contacter</v>
      </c>
      <c r="B454" s="409" t="s">
        <v>1722</v>
      </c>
      <c r="C454" s="409" t="s">
        <v>1723</v>
      </c>
      <c r="D454" s="409"/>
      <c r="E454" s="409"/>
    </row>
    <row r="455" spans="1:5">
      <c r="A455" s="409" t="str">
        <f t="shared" si="12"/>
        <v>PG STORE VERTICAL l2679 7016MAT 201</v>
      </c>
      <c r="B455" s="574" t="s">
        <v>1848</v>
      </c>
      <c r="C455" s="553" t="s">
        <v>1766</v>
      </c>
      <c r="D455" s="557" t="s">
        <v>1768</v>
      </c>
      <c r="E455" s="409"/>
    </row>
    <row r="456" spans="1:5">
      <c r="A456" s="409" t="str">
        <f t="shared" si="12"/>
        <v>PG STORE VERTICAL l2679 9010BRI 201</v>
      </c>
      <c r="B456" s="574" t="s">
        <v>1764</v>
      </c>
      <c r="C456" s="553" t="s">
        <v>1767</v>
      </c>
      <c r="D456" s="557" t="s">
        <v>1769</v>
      </c>
      <c r="E456" s="409"/>
    </row>
    <row r="457" spans="1:5">
      <c r="A457" s="409" t="str">
        <f t="shared" si="12"/>
        <v>PG STORE VERTICAL l2829 7016MAT 201</v>
      </c>
      <c r="B457" s="574" t="s">
        <v>1765</v>
      </c>
      <c r="C457" s="553" t="s">
        <v>1773</v>
      </c>
      <c r="D457" s="557" t="s">
        <v>1801</v>
      </c>
      <c r="E457" s="409"/>
    </row>
    <row r="458" spans="1:5">
      <c r="A458" s="409" t="str">
        <f t="shared" si="12"/>
        <v>PG STORE VERTICAL l2829 9010BRI 201</v>
      </c>
      <c r="B458" s="574" t="s">
        <v>1772</v>
      </c>
      <c r="C458" s="553" t="s">
        <v>1774</v>
      </c>
      <c r="D458" s="557" t="s">
        <v>1802</v>
      </c>
      <c r="E458" s="409"/>
    </row>
    <row r="459" spans="1:5">
      <c r="A459" s="409" t="str">
        <f t="shared" si="12"/>
        <v>PG STORE VERTICAL l3574 7016MAT 201</v>
      </c>
      <c r="B459" s="574" t="s">
        <v>1761</v>
      </c>
      <c r="C459" s="553" t="s">
        <v>1758</v>
      </c>
      <c r="D459" s="557" t="s">
        <v>1803</v>
      </c>
      <c r="E459" s="409"/>
    </row>
    <row r="460" spans="1:5">
      <c r="A460" s="409" t="str">
        <f t="shared" si="12"/>
        <v>PG STORE VERTICAL l3574 9010BRI 201</v>
      </c>
      <c r="B460" s="574" t="s">
        <v>1762</v>
      </c>
      <c r="C460" s="553" t="s">
        <v>1759</v>
      </c>
      <c r="D460" s="557" t="s">
        <v>1804</v>
      </c>
      <c r="E460" s="409"/>
    </row>
    <row r="461" spans="1:5">
      <c r="A461" s="409" t="str">
        <f t="shared" si="12"/>
        <v>PG STORE VERTICAL l3997 7016MAT 201</v>
      </c>
      <c r="B461" s="574" t="s">
        <v>1793</v>
      </c>
      <c r="C461" s="553" t="s">
        <v>1795</v>
      </c>
      <c r="D461" s="557" t="s">
        <v>1797</v>
      </c>
      <c r="E461" s="409"/>
    </row>
    <row r="462" spans="1:5">
      <c r="A462" s="409" t="str">
        <f t="shared" si="12"/>
        <v>PG STORE VERTICAL l3997 9010BRI 201</v>
      </c>
      <c r="B462" s="574" t="s">
        <v>1794</v>
      </c>
      <c r="C462" s="553" t="s">
        <v>1796</v>
      </c>
      <c r="D462" s="557" t="s">
        <v>1798</v>
      </c>
      <c r="E462" s="409"/>
    </row>
    <row r="463" spans="1:5">
      <c r="A463" s="409" t="str">
        <f t="shared" si="12"/>
        <v>PG STORE VERTICAL l4147 7016MAT 201</v>
      </c>
      <c r="B463" s="574" t="s">
        <v>1789</v>
      </c>
      <c r="C463" s="553" t="s">
        <v>1791</v>
      </c>
      <c r="D463" s="557" t="s">
        <v>1799</v>
      </c>
      <c r="E463" s="409"/>
    </row>
    <row r="464" spans="1:5">
      <c r="A464" s="409" t="str">
        <f t="shared" si="12"/>
        <v>PG STORE VERTICAL l4147 9010BRI 201</v>
      </c>
      <c r="B464" s="574" t="s">
        <v>1790</v>
      </c>
      <c r="C464" s="553" t="s">
        <v>1792</v>
      </c>
      <c r="D464" s="557" t="s">
        <v>1800</v>
      </c>
      <c r="E464" s="409"/>
    </row>
    <row r="465" spans="1:5">
      <c r="A465" s="409" t="str">
        <f t="shared" si="12"/>
        <v>PG STORE VERTICAL l5315 7016MAT 201</v>
      </c>
      <c r="B465" s="574" t="s">
        <v>1805</v>
      </c>
      <c r="C465" s="553" t="s">
        <v>1807</v>
      </c>
      <c r="D465" s="557" t="s">
        <v>1809</v>
      </c>
      <c r="E465" s="409"/>
    </row>
    <row r="466" spans="1:5">
      <c r="A466" s="409" t="str">
        <f t="shared" si="12"/>
        <v>PG STORE VERTICAL l5315 9010BRI 201</v>
      </c>
      <c r="B466" s="574" t="s">
        <v>1806</v>
      </c>
      <c r="C466" s="553" t="s">
        <v>1808</v>
      </c>
      <c r="D466" s="557" t="s">
        <v>1810</v>
      </c>
      <c r="E466" s="409"/>
    </row>
    <row r="467" spans="1:5">
      <c r="A467" s="409" t="str">
        <f t="shared" si="12"/>
        <v>PG STORE VERTICAL l5374 7016MAT 201</v>
      </c>
      <c r="B467" s="574" t="s">
        <v>1777</v>
      </c>
      <c r="C467" s="553" t="s">
        <v>1779</v>
      </c>
      <c r="D467" s="557" t="s">
        <v>1783</v>
      </c>
      <c r="E467" s="409"/>
    </row>
    <row r="468" spans="1:5">
      <c r="A468" s="409" t="str">
        <f t="shared" si="12"/>
        <v>PG STORE VERTICAL l5374 9010BRI 201</v>
      </c>
      <c r="B468" s="574" t="s">
        <v>1778</v>
      </c>
      <c r="C468" s="553" t="s">
        <v>1780</v>
      </c>
      <c r="D468" s="557" t="s">
        <v>1784</v>
      </c>
      <c r="E468" s="409"/>
    </row>
    <row r="469" spans="1:5">
      <c r="A469" s="409" t="str">
        <f t="shared" si="12"/>
        <v>PG STORE VERTICAL l5465 7016MAT 201</v>
      </c>
      <c r="B469" s="574" t="s">
        <v>1813</v>
      </c>
      <c r="C469" s="553" t="s">
        <v>1815</v>
      </c>
      <c r="D469" s="557" t="s">
        <v>1817</v>
      </c>
      <c r="E469" s="409"/>
    </row>
    <row r="470" spans="1:5">
      <c r="A470" s="409" t="str">
        <f t="shared" si="12"/>
        <v>PG STORE VERTICAL l5465 9010BRI 201</v>
      </c>
      <c r="B470" s="574" t="s">
        <v>1816</v>
      </c>
      <c r="C470" s="553" t="s">
        <v>1814</v>
      </c>
      <c r="D470" s="557" t="s">
        <v>1818</v>
      </c>
      <c r="E470" s="409"/>
    </row>
    <row r="471" spans="1:5" ht="30">
      <c r="A471" s="409" t="str">
        <f t="shared" si="12"/>
        <v>STORE VERTICAL l2679*2400 7016MAT, Mermet satiné 5500-0201
RS SMART 100, moteur FAHER ONE + 1 interrupteur à appliquer</v>
      </c>
      <c r="B471" s="86" t="s">
        <v>1770</v>
      </c>
      <c r="C471" s="86" t="s">
        <v>1879</v>
      </c>
      <c r="D471" s="86" t="s">
        <v>1895</v>
      </c>
      <c r="E471" s="409"/>
    </row>
    <row r="472" spans="1:5" ht="30">
      <c r="A472" s="409" t="str">
        <f t="shared" si="12"/>
        <v>STORE VERTICAL l2679*2400 9010, Mermet satiné 5500-0201
RS SMART 100, moteur FAHER ONE + 1 interrupteur à appliquer</v>
      </c>
      <c r="B472" s="86" t="s">
        <v>1771</v>
      </c>
      <c r="C472" s="86" t="s">
        <v>1880</v>
      </c>
      <c r="D472" s="86" t="s">
        <v>1896</v>
      </c>
      <c r="E472" s="409"/>
    </row>
    <row r="473" spans="1:5" ht="30">
      <c r="A473" s="409" t="str">
        <f t="shared" si="12"/>
        <v>STORE VERTICAL l2829*2400 7016MAT, Mermet satiné 5500-0201
RS SMART 100, moteur FAHER ONE + 1 interrupteur à appliquer</v>
      </c>
      <c r="B473" s="86" t="s">
        <v>1775</v>
      </c>
      <c r="C473" s="86" t="s">
        <v>1881</v>
      </c>
      <c r="D473" s="86" t="s">
        <v>1897</v>
      </c>
      <c r="E473" s="409"/>
    </row>
    <row r="474" spans="1:5" ht="30">
      <c r="A474" s="409" t="str">
        <f t="shared" si="12"/>
        <v>STORE VERTICAL l2829*2400 9010, Mermet satiné 5500-0201
RS SMART 100, moteur FAHER ONE + 1 interrupteur à appliquer</v>
      </c>
      <c r="B474" s="86" t="s">
        <v>1776</v>
      </c>
      <c r="C474" s="86" t="s">
        <v>1882</v>
      </c>
      <c r="D474" s="86" t="s">
        <v>1898</v>
      </c>
      <c r="E474" s="409"/>
    </row>
    <row r="475" spans="1:5" ht="30">
      <c r="A475" s="409" t="str">
        <f t="shared" si="12"/>
        <v>STORE VERTICAL l3574*2400 7016MAT, Mermet satiné 5500-0201
RS SMART 100, moteur FAHER ONE + 1 interrupteur à appliquer</v>
      </c>
      <c r="B475" s="86" t="s">
        <v>1760</v>
      </c>
      <c r="C475" s="86" t="s">
        <v>1883</v>
      </c>
      <c r="D475" s="86" t="s">
        <v>1899</v>
      </c>
      <c r="E475" s="409"/>
    </row>
    <row r="476" spans="1:5" ht="30">
      <c r="A476" s="409" t="str">
        <f t="shared" si="12"/>
        <v>STORE VERTICAL l3574*2400 9010, Mermet satiné 5500-0201
RS SMART 100, moteur FAHER ONE + 1 interrupteur à appliquer</v>
      </c>
      <c r="B476" s="86" t="s">
        <v>1763</v>
      </c>
      <c r="C476" s="86" t="s">
        <v>1884</v>
      </c>
      <c r="D476" s="86" t="s">
        <v>1900</v>
      </c>
      <c r="E476" s="409"/>
    </row>
    <row r="477" spans="1:5" ht="30">
      <c r="A477" s="409" t="str">
        <f t="shared" si="12"/>
        <v>STORE VERTICAL l3997*2400 7016MAT, Mermet satiné 5500-0201
RS SMART 100, moteur FAHER ONE + 1 interrupteur à appliquer</v>
      </c>
      <c r="B477" s="86" t="s">
        <v>1785</v>
      </c>
      <c r="C477" s="86" t="s">
        <v>1885</v>
      </c>
      <c r="D477" s="86" t="s">
        <v>1901</v>
      </c>
      <c r="E477" s="409"/>
    </row>
    <row r="478" spans="1:5" ht="30">
      <c r="A478" s="409" t="str">
        <f t="shared" si="12"/>
        <v>STORE VERTICAL l3997*2400 9010, Mermet satiné 5500-0201
RS SMART 100, moteur FAHER ONE + 1 interrupteur à appliquer</v>
      </c>
      <c r="B478" s="86" t="s">
        <v>1786</v>
      </c>
      <c r="C478" s="86" t="s">
        <v>1886</v>
      </c>
      <c r="D478" s="86" t="s">
        <v>1902</v>
      </c>
      <c r="E478" s="409"/>
    </row>
    <row r="479" spans="1:5" ht="30">
      <c r="A479" s="409" t="str">
        <f t="shared" si="12"/>
        <v>STORE VERTICAL l4147*2400 7016MAT, Mermet satiné 5500-0201
RS SMART 100, moteur FAHER ONE + 1 interrupteur à appliquer</v>
      </c>
      <c r="B479" s="86" t="s">
        <v>1787</v>
      </c>
      <c r="C479" s="86" t="s">
        <v>1887</v>
      </c>
      <c r="D479" s="86" t="s">
        <v>1903</v>
      </c>
      <c r="E479" s="409"/>
    </row>
    <row r="480" spans="1:5" ht="30">
      <c r="A480" s="409" t="str">
        <f t="shared" si="12"/>
        <v>STORE VERTICAL l4147*2400 9010, Mermet satiné 5500-0201
RS SMART 100, moteur FAHER ONE + 1 interrupteur à appliquer</v>
      </c>
      <c r="B480" s="86" t="s">
        <v>1788</v>
      </c>
      <c r="C480" s="86" t="s">
        <v>1888</v>
      </c>
      <c r="D480" s="86" t="s">
        <v>1904</v>
      </c>
      <c r="E480" s="409"/>
    </row>
    <row r="481" spans="1:5" ht="30">
      <c r="A481" s="409" t="str">
        <f t="shared" si="12"/>
        <v>STORE VERTICAL l5315*2400 7016MAT, Mermet satiné 5500-0201
RS SMART 100, moteur FAHER ONE + 1 interrupteur à appliquer</v>
      </c>
      <c r="B481" s="86" t="s">
        <v>1811</v>
      </c>
      <c r="C481" s="86" t="s">
        <v>1889</v>
      </c>
      <c r="D481" s="86" t="s">
        <v>1905</v>
      </c>
      <c r="E481" s="409"/>
    </row>
    <row r="482" spans="1:5" ht="30">
      <c r="A482" s="409" t="str">
        <f t="shared" ref="A482:A505" si="13">INDEX(B482:F482,$B$1)</f>
        <v>STORE VERTICAL l5315*2400 9010, Mermet satiné 5500-0201
RS SMART 100, moteur FAHER ONE + 1 interrupteur à appliquer</v>
      </c>
      <c r="B482" s="86" t="s">
        <v>1812</v>
      </c>
      <c r="C482" s="86" t="s">
        <v>1890</v>
      </c>
      <c r="D482" s="86" t="s">
        <v>1906</v>
      </c>
      <c r="E482" s="409"/>
    </row>
    <row r="483" spans="1:5" ht="30">
      <c r="A483" s="409" t="str">
        <f t="shared" si="13"/>
        <v>STORE VERTICAL l5374*2400 7016MAT, Mermet satiné 5500-0201
RS SMART 100, moteur FAHER ONE + 1 interrupteur à appliquer</v>
      </c>
      <c r="B483" s="86" t="s">
        <v>1781</v>
      </c>
      <c r="C483" s="86" t="s">
        <v>1891</v>
      </c>
      <c r="D483" s="86" t="s">
        <v>1907</v>
      </c>
      <c r="E483" s="409"/>
    </row>
    <row r="484" spans="1:5" ht="30">
      <c r="A484" s="409" t="str">
        <f t="shared" si="13"/>
        <v>STORE VERTICAL l5374*2400 9010, Mermet satiné 5500-0201
RS SMART 100, moteur FAHER ONE + 1 interrupteur à appliquer</v>
      </c>
      <c r="B484" s="86" t="s">
        <v>1782</v>
      </c>
      <c r="C484" s="86" t="s">
        <v>1892</v>
      </c>
      <c r="D484" s="86" t="s">
        <v>1908</v>
      </c>
      <c r="E484" s="409"/>
    </row>
    <row r="485" spans="1:5" ht="30">
      <c r="A485" s="409" t="str">
        <f t="shared" si="13"/>
        <v>STORE VERTICAL l5465*2400 7016MAT, Mermet satiné 5500-0201
RS SMART 100, moteur FAHER ONE + 1 interrupteur à appliquer</v>
      </c>
      <c r="B485" s="86" t="s">
        <v>1819</v>
      </c>
      <c r="C485" s="86" t="s">
        <v>1893</v>
      </c>
      <c r="D485" s="86" t="s">
        <v>1909</v>
      </c>
      <c r="E485" s="409"/>
    </row>
    <row r="486" spans="1:5" ht="30">
      <c r="A486" s="409" t="str">
        <f t="shared" si="13"/>
        <v>STORE VERTICAL l5465*2400 9010, Mermet satiné 5500-0201
RS SMART 100, moteur FAHER ONE + 1 interrupteur à appliquer</v>
      </c>
      <c r="B486" s="86" t="s">
        <v>1820</v>
      </c>
      <c r="C486" s="86" t="s">
        <v>1894</v>
      </c>
      <c r="D486" s="86" t="s">
        <v>1910</v>
      </c>
      <c r="E486" s="409"/>
    </row>
    <row r="487" spans="1:5">
      <c r="A487" s="409" t="str">
        <f t="shared" si="13"/>
        <v xml:space="preserve">PG ENS RAILS 2700 SUP INF ACC. 7016M </v>
      </c>
      <c r="B487" s="409" t="s">
        <v>1822</v>
      </c>
      <c r="C487" s="409" t="s">
        <v>1821</v>
      </c>
      <c r="D487" s="409" t="s">
        <v>1821</v>
      </c>
      <c r="E487" s="412"/>
    </row>
    <row r="488" spans="1:5" ht="45">
      <c r="A488" s="409" t="str">
        <f t="shared" si="13"/>
        <v>Pour claustra coulissant, ensemble de 1 rail haut et bas 2700 mm avec accessoires de montage 
Couleur 7016 mat (gris)</v>
      </c>
      <c r="B488" s="86" t="s">
        <v>1823</v>
      </c>
      <c r="C488" s="409" t="s">
        <v>1824</v>
      </c>
      <c r="D488" s="409"/>
      <c r="E488" s="412"/>
    </row>
    <row r="489" spans="1:5">
      <c r="A489" s="409" t="str">
        <f t="shared" si="13"/>
        <v>Récepteur IP54 pour moteur tubulaire (screen-store)  PGOVS</v>
      </c>
      <c r="B489" s="409" t="s">
        <v>1826</v>
      </c>
      <c r="C489" s="409" t="s">
        <v>1827</v>
      </c>
      <c r="D489" s="409" t="s">
        <v>1827</v>
      </c>
      <c r="E489" s="412"/>
    </row>
    <row r="490" spans="1:5">
      <c r="A490" s="409" t="str">
        <f t="shared" si="13"/>
        <v>KIT 2 EMBASES ENCASTREES 7016 MAT</v>
      </c>
      <c r="B490" s="409" t="s">
        <v>1828</v>
      </c>
      <c r="C490" s="409" t="s">
        <v>1830</v>
      </c>
      <c r="D490" s="409" t="s">
        <v>1877</v>
      </c>
    </row>
    <row r="491" spans="1:5">
      <c r="A491" s="409" t="str">
        <f t="shared" si="13"/>
        <v>KIT 2 EMBASES ENCASTREES 9010</v>
      </c>
      <c r="B491" s="409" t="s">
        <v>1829</v>
      </c>
      <c r="C491" s="409" t="s">
        <v>1831</v>
      </c>
      <c r="D491" s="409" t="s">
        <v>1878</v>
      </c>
    </row>
    <row r="492" spans="1:5">
      <c r="A492" s="409" t="str">
        <f t="shared" si="13"/>
        <v>Option embases encastrées</v>
      </c>
      <c r="B492" s="409" t="s">
        <v>1835</v>
      </c>
      <c r="C492" s="409" t="s">
        <v>1836</v>
      </c>
      <c r="D492" s="409" t="s">
        <v>1871</v>
      </c>
    </row>
    <row r="493" spans="1:5">
      <c r="A493" s="409" t="str">
        <f t="shared" si="13"/>
        <v>TELECOMMANDE TVNOON868NM63L</v>
      </c>
      <c r="B493" s="409" t="s">
        <v>1840</v>
      </c>
      <c r="C493" s="409" t="s">
        <v>1841</v>
      </c>
      <c r="D493" s="409"/>
    </row>
    <row r="494" spans="1:5" ht="113.25" customHeight="1">
      <c r="A494" s="658" t="str">
        <f t="shared" si="13"/>
        <v>* SCREEN ATTENTION : La notion de "latéral" ou "avant/arrière" s'applique pour une pose classique de la pergola soit sur ilot, soit accolée à la façade avec les lignes photovoltaïques et bioclimatiques parallèles à la façade d'accueil, et sans jumelage.
Dans les autres cas : pergola accolée à la façade avec ses lignes de toiture perpendiculaires à la façade d'accueil, ou avec jumelage, MERCI DE CONTACTER NOTRE SERVICE TECHNICO-COMMERCIAL AFIN DE DETERMINER LES REFERENCES DE STORES ADEQUATES.</v>
      </c>
      <c r="B494" s="86" t="s">
        <v>1927</v>
      </c>
      <c r="C494" s="86" t="s">
        <v>1928</v>
      </c>
      <c r="D494" s="86" t="s">
        <v>1928</v>
      </c>
    </row>
    <row r="495" spans="1:5">
      <c r="A495" s="409" t="str">
        <f t="shared" si="13"/>
        <v>Entrée manuelle</v>
      </c>
      <c r="B495" s="86" t="s">
        <v>1944</v>
      </c>
      <c r="C495" s="86" t="s">
        <v>1943</v>
      </c>
      <c r="D495" s="86" t="s">
        <v>1943</v>
      </c>
    </row>
    <row r="496" spans="1:5" ht="27">
      <c r="A496" s="409" t="str">
        <f t="shared" si="13"/>
        <v>STORE VERTICAL l3524 9010BRI
Mermet satiné 5500-0201</v>
      </c>
      <c r="B496" s="574" t="s">
        <v>1941</v>
      </c>
      <c r="C496" s="553" t="s">
        <v>1933</v>
      </c>
      <c r="D496" s="557" t="s">
        <v>1935</v>
      </c>
    </row>
    <row r="497" spans="1:4" ht="27">
      <c r="A497" s="409" t="str">
        <f t="shared" si="13"/>
        <v>STORE VERTICAL l3524 9010BRI
Mermet satiné 5500-0201</v>
      </c>
      <c r="B497" s="574" t="s">
        <v>1941</v>
      </c>
      <c r="C497" s="553" t="s">
        <v>1934</v>
      </c>
      <c r="D497" s="557" t="s">
        <v>1936</v>
      </c>
    </row>
    <row r="498" spans="1:4" ht="27">
      <c r="A498" s="409" t="str">
        <f t="shared" si="13"/>
        <v>STORE VERTICAL l5224 9010BRI
Mermet satiné 5500-0201</v>
      </c>
      <c r="B498" s="574" t="s">
        <v>1942</v>
      </c>
      <c r="C498" s="553" t="s">
        <v>1937</v>
      </c>
      <c r="D498" s="557" t="s">
        <v>1939</v>
      </c>
    </row>
    <row r="499" spans="1:4" ht="27">
      <c r="A499" s="409" t="str">
        <f t="shared" si="13"/>
        <v>STORE VERTICAL l5224 9010BRI
Mermet satiné 5500-0201</v>
      </c>
      <c r="B499" s="574" t="s">
        <v>1942</v>
      </c>
      <c r="C499" s="553" t="s">
        <v>1938</v>
      </c>
      <c r="D499" s="557" t="s">
        <v>1940</v>
      </c>
    </row>
    <row r="500" spans="1:4">
      <c r="A500" s="409">
        <f t="shared" si="13"/>
        <v>0</v>
      </c>
    </row>
    <row r="501" spans="1:4">
      <c r="A501" s="409">
        <f t="shared" si="13"/>
        <v>0</v>
      </c>
    </row>
    <row r="502" spans="1:4">
      <c r="A502" s="409">
        <f t="shared" si="13"/>
        <v>0</v>
      </c>
    </row>
    <row r="503" spans="1:4">
      <c r="A503" s="409">
        <f t="shared" si="13"/>
        <v>0</v>
      </c>
    </row>
    <row r="504" spans="1:4">
      <c r="A504" s="409">
        <f t="shared" si="13"/>
        <v>0</v>
      </c>
    </row>
    <row r="505" spans="1:4">
      <c r="A505" s="409">
        <f t="shared" si="13"/>
        <v>0</v>
      </c>
    </row>
  </sheetData>
  <sheetProtection algorithmName="SHA-512" hashValue="w0LbxSrIQsRhdOfGYvLTYAvjucpXO20BVd6Nlr2yOIjbPfPdMGUolGZOTYmVaZr3YgjE634uOYkbi1yBXL3enw==" saltValue="VxNtwzeLvsuO0ECeBq7wYQ==" spinCount="100000" sheet="1" objects="1" scenarios="1"/>
  <customSheetViews>
    <customSheetView guid="{D8D7B009-33DC-454B-9FCD-4FE65C8432CF}">
      <pane xSplit="1" ySplit="7" topLeftCell="B176" activePane="bottomRight" state="frozen"/>
      <selection pane="bottomRight" activeCell="B191" sqref="B191"/>
      <pageMargins left="0.7" right="0.7" top="0.75" bottom="0.75" header="0.3" footer="0.3"/>
      <pageSetup paperSize="9" orientation="portrait" r:id="rId1"/>
    </customSheetView>
  </customSheetViews>
  <conditionalFormatting sqref="B216:B220 B222:B223">
    <cfRule type="expression" dxfId="13" priority="11">
      <formula>$O$7&gt;0</formula>
    </cfRule>
  </conditionalFormatting>
  <conditionalFormatting sqref="C223">
    <cfRule type="expression" dxfId="12" priority="10">
      <formula>$O$7&gt;0</formula>
    </cfRule>
  </conditionalFormatting>
  <conditionalFormatting sqref="B275:B307 B324:B326">
    <cfRule type="expression" dxfId="11" priority="9">
      <formula>$I275&gt;0</formula>
    </cfRule>
  </conditionalFormatting>
  <conditionalFormatting sqref="B331:B332">
    <cfRule type="expression" dxfId="10" priority="8">
      <formula>$I331&gt;0</formula>
    </cfRule>
  </conditionalFormatting>
  <conditionalFormatting sqref="B413:B416 B419:B424">
    <cfRule type="expression" dxfId="9" priority="7">
      <formula>$I413&gt;0</formula>
    </cfRule>
  </conditionalFormatting>
  <conditionalFormatting sqref="B417:B418">
    <cfRule type="expression" dxfId="8" priority="6">
      <formula>$I417&gt;0</formula>
    </cfRule>
  </conditionalFormatting>
  <conditionalFormatting sqref="B427:B430">
    <cfRule type="expression" dxfId="7" priority="5">
      <formula>$I427&gt;0</formula>
    </cfRule>
  </conditionalFormatting>
  <conditionalFormatting sqref="B435:B436">
    <cfRule type="expression" dxfId="6" priority="4">
      <formula>$I435&gt;0</formula>
    </cfRule>
  </conditionalFormatting>
  <conditionalFormatting sqref="B441:B444">
    <cfRule type="expression" dxfId="5" priority="3">
      <formula>$I441&gt;0</formula>
    </cfRule>
  </conditionalFormatting>
  <conditionalFormatting sqref="B446">
    <cfRule type="expression" dxfId="4" priority="2">
      <formula>$I446&gt;0</formula>
    </cfRule>
  </conditionalFormatting>
  <conditionalFormatting sqref="B449:B450">
    <cfRule type="expression" dxfId="3" priority="1">
      <formula>$I449&gt;0</formula>
    </cfRule>
  </conditionalFormatting>
  <hyperlinks>
    <hyperlink ref="B359" r:id="rId2" xr:uid="{00000000-0004-0000-0300-000000000000}"/>
    <hyperlink ref="C359" r:id="rId3" xr:uid="{00000000-0004-0000-0300-000001000000}"/>
    <hyperlink ref="D359" r:id="rId4" xr:uid="{00000000-0004-0000-0300-000002000000}"/>
  </hyperlinks>
  <pageMargins left="0.7" right="0.7" top="0.75" bottom="0.75" header="0.3" footer="0.3"/>
  <pageSetup paperSize="9" orientation="portrait" r:id="rId5"/>
  <legacy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1:R55"/>
  <sheetViews>
    <sheetView zoomScale="70" zoomScaleNormal="70" workbookViewId="0">
      <selection activeCell="I36" sqref="I36"/>
    </sheetView>
  </sheetViews>
  <sheetFormatPr baseColWidth="10" defaultColWidth="11.42578125" defaultRowHeight="15"/>
  <cols>
    <col min="1" max="1" width="11.42578125" style="2" customWidth="1"/>
    <col min="2" max="2" width="12.5703125" style="2" customWidth="1"/>
    <col min="3" max="3" width="19.28515625" style="2" customWidth="1"/>
    <col min="4" max="4" width="13.5703125" style="2" customWidth="1"/>
    <col min="5" max="5" width="45.42578125" style="2" customWidth="1"/>
    <col min="6" max="6" width="16" style="2" customWidth="1"/>
    <col min="7" max="8" width="12.7109375" style="2" customWidth="1"/>
    <col min="9" max="9" width="18" style="2" customWidth="1"/>
    <col min="10" max="10" width="22.5703125" style="2" customWidth="1"/>
    <col min="11" max="11" width="24.140625" style="2" customWidth="1"/>
    <col min="12" max="12" width="12.7109375" style="2" customWidth="1"/>
    <col min="13" max="13" width="13.5703125" style="2" customWidth="1"/>
    <col min="14" max="15" width="7.42578125" style="2" customWidth="1"/>
    <col min="16" max="18" width="17.7109375" style="2" customWidth="1"/>
    <col min="19" max="16384" width="11.42578125" style="2"/>
  </cols>
  <sheetData>
    <row r="1" spans="1:18" ht="58.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8" ht="39" customHeight="1" thickTop="1">
      <c r="A2" s="729" t="s">
        <v>32</v>
      </c>
      <c r="B2" s="730"/>
      <c r="C2" s="731"/>
      <c r="D2" s="30"/>
      <c r="E2" s="2" t="s">
        <v>385</v>
      </c>
    </row>
    <row r="3" spans="1:18" ht="24" thickBot="1">
      <c r="A3" s="31"/>
      <c r="B3" s="38"/>
      <c r="C3" s="32"/>
      <c r="E3" s="732" t="str">
        <f>Traduction!A9</f>
        <v>Définition tarifaire des Pergolas PERGOSOLAR</v>
      </c>
      <c r="F3" s="732"/>
      <c r="G3" s="732"/>
      <c r="H3" s="732"/>
      <c r="I3" s="732"/>
      <c r="J3" s="732"/>
      <c r="K3" s="732"/>
      <c r="L3" s="732"/>
      <c r="M3" s="61"/>
    </row>
    <row r="4" spans="1:18" ht="12.75" customHeight="1" thickTop="1">
      <c r="E4" s="3"/>
      <c r="F4" s="3"/>
      <c r="G4" s="3"/>
      <c r="H4" s="3"/>
      <c r="I4" s="3"/>
      <c r="J4" s="3"/>
      <c r="K4" s="3"/>
      <c r="L4" s="3"/>
      <c r="M4" s="3"/>
    </row>
    <row r="5" spans="1:18" ht="15.75" customHeight="1">
      <c r="A5" s="4"/>
      <c r="B5" s="4"/>
      <c r="E5" s="733" t="str">
        <f>Traduction!A154</f>
        <v>Ajouter le code couleur à la référence (9010 ou 7016 ou 7016M ou ….)</v>
      </c>
      <c r="F5" s="733"/>
      <c r="G5" s="733"/>
      <c r="H5" s="733"/>
      <c r="I5" s="733"/>
      <c r="J5" s="733"/>
      <c r="K5" s="733"/>
      <c r="L5" s="733"/>
      <c r="M5" s="62"/>
      <c r="N5" s="4"/>
      <c r="O5" s="4"/>
    </row>
    <row r="6" spans="1:18" ht="15.75" customHeight="1">
      <c r="A6" s="4" t="str">
        <f>Traduction!A155</f>
        <v>Si besoin d'une palette suppplémentaire, ajout d'un forfait de 50€ pour l'emballage.</v>
      </c>
      <c r="B6" s="4"/>
      <c r="E6" s="63"/>
      <c r="F6" s="63"/>
      <c r="G6" s="63"/>
      <c r="H6" s="63"/>
      <c r="I6" s="63"/>
      <c r="J6" s="63"/>
      <c r="K6" s="63"/>
      <c r="L6" s="63"/>
      <c r="M6" s="62"/>
      <c r="N6" s="4"/>
      <c r="O6" s="4"/>
    </row>
    <row r="7" spans="1:18" ht="15.75" customHeight="1">
      <c r="A7" s="4"/>
      <c r="B7" s="4"/>
      <c r="E7" s="63"/>
      <c r="F7" s="63"/>
      <c r="G7" s="63"/>
      <c r="H7" s="63"/>
      <c r="I7" s="63"/>
      <c r="J7" s="63"/>
      <c r="K7" s="63"/>
      <c r="L7" s="63"/>
      <c r="M7" s="62"/>
      <c r="N7" s="4"/>
      <c r="O7" s="4"/>
    </row>
    <row r="8" spans="1:18">
      <c r="E8" s="58"/>
    </row>
    <row r="9" spans="1:18" ht="15.75" thickBot="1">
      <c r="A9" s="725" t="str">
        <f>Traduction!B29</f>
        <v>Nomenclature IRFTS</v>
      </c>
      <c r="B9" s="726"/>
      <c r="C9" s="726"/>
      <c r="D9" s="726"/>
      <c r="E9" s="726"/>
      <c r="F9" s="726"/>
      <c r="G9" s="726"/>
      <c r="H9" s="726"/>
      <c r="I9" s="726"/>
      <c r="J9" s="726"/>
      <c r="K9" s="726"/>
      <c r="L9" s="726"/>
      <c r="M9" s="726"/>
      <c r="N9" s="726"/>
      <c r="O9" s="726"/>
      <c r="P9" s="726"/>
      <c r="Q9" s="726"/>
      <c r="R9" s="726"/>
    </row>
    <row r="10" spans="1:18" ht="32.1" customHeight="1">
      <c r="A10" s="727" t="str">
        <f>Traduction!A31</f>
        <v>Référence</v>
      </c>
      <c r="B10" s="728"/>
      <c r="C10" s="5" t="str">
        <f>Traduction!A35</f>
        <v>Dimensions colis</v>
      </c>
      <c r="D10" s="5" t="str">
        <f>Traduction!A36</f>
        <v>Poids (Kg)</v>
      </c>
      <c r="E10" s="5" t="str">
        <f>Traduction!A37</f>
        <v>Désignation</v>
      </c>
      <c r="F10" s="52" t="str">
        <f>Traduction!A143</f>
        <v>Complément</v>
      </c>
      <c r="G10" s="52" t="str">
        <f>Traduction!A38</f>
        <v>Qté Totale</v>
      </c>
      <c r="H10" s="52" t="str">
        <f>Traduction!A40</f>
        <v>UDV</v>
      </c>
      <c r="I10" s="51" t="str">
        <f>Traduction!A41</f>
        <v>Prix Public unitaire €HT</v>
      </c>
      <c r="J10" s="50" t="str">
        <f>+Traduction!A43</f>
        <v>Prix unitaire après remise €HT</v>
      </c>
      <c r="K10" s="50" t="str">
        <f>+Traduction!A141</f>
        <v>Prix total après remise €HT</v>
      </c>
    </row>
    <row r="11" spans="1:18">
      <c r="A11" s="42" t="s">
        <v>171</v>
      </c>
      <c r="B11" s="39"/>
      <c r="C11" s="6"/>
      <c r="D11" s="7"/>
      <c r="E11" s="6" t="str">
        <f>Traduction!A170</f>
        <v>CANIVEAU 2x</v>
      </c>
      <c r="F11" s="59"/>
      <c r="G11" s="47">
        <f>F11</f>
        <v>0</v>
      </c>
      <c r="H11" s="46">
        <v>1</v>
      </c>
      <c r="I11" s="8">
        <v>250</v>
      </c>
      <c r="J11" s="8">
        <f t="shared" ref="J11:J23" si="0">I11*(1-$I$51)</f>
        <v>250</v>
      </c>
      <c r="K11" s="8">
        <f>ROUNDUP(G11/H11,0)*H11*J11</f>
        <v>0</v>
      </c>
    </row>
    <row r="12" spans="1:18">
      <c r="A12" s="43" t="s">
        <v>175</v>
      </c>
      <c r="B12" s="40"/>
      <c r="C12" s="9"/>
      <c r="D12" s="10"/>
      <c r="E12" s="9" t="str">
        <f>Traduction!A171</f>
        <v>CANIVEAU 3x</v>
      </c>
      <c r="F12" s="59"/>
      <c r="G12" s="47">
        <f t="shared" ref="G12:G47" si="1">F12</f>
        <v>0</v>
      </c>
      <c r="H12" s="46">
        <v>1</v>
      </c>
      <c r="I12" s="11">
        <v>373</v>
      </c>
      <c r="J12" s="11">
        <f t="shared" si="0"/>
        <v>373</v>
      </c>
      <c r="K12" s="11">
        <f t="shared" ref="K12:K17" si="2">ROUNDUP(G12/H12,0)*H12*J12</f>
        <v>0</v>
      </c>
    </row>
    <row r="13" spans="1:18">
      <c r="A13" s="65" t="s">
        <v>176</v>
      </c>
      <c r="B13" s="66"/>
      <c r="C13" s="67"/>
      <c r="D13" s="68"/>
      <c r="E13" s="67" t="str">
        <f>Traduction!A172</f>
        <v>CANIVEAU 4x</v>
      </c>
      <c r="F13" s="59"/>
      <c r="G13" s="47">
        <f t="shared" si="1"/>
        <v>0</v>
      </c>
      <c r="H13" s="46">
        <v>1</v>
      </c>
      <c r="I13" s="8">
        <v>496</v>
      </c>
      <c r="J13" s="8">
        <f t="shared" si="0"/>
        <v>496</v>
      </c>
      <c r="K13" s="8">
        <f t="shared" si="2"/>
        <v>0</v>
      </c>
    </row>
    <row r="14" spans="1:18">
      <c r="A14" s="43" t="s">
        <v>212</v>
      </c>
      <c r="B14" s="40"/>
      <c r="C14" s="9"/>
      <c r="D14" s="10"/>
      <c r="E14" s="9" t="str">
        <f>Traduction!A173</f>
        <v>GOULOTTE AVANT x2</v>
      </c>
      <c r="F14" s="59"/>
      <c r="G14" s="47">
        <f t="shared" si="1"/>
        <v>0</v>
      </c>
      <c r="H14" s="46">
        <v>1</v>
      </c>
      <c r="I14" s="11">
        <v>158</v>
      </c>
      <c r="J14" s="11">
        <f t="shared" si="0"/>
        <v>158</v>
      </c>
      <c r="K14" s="11">
        <f t="shared" si="2"/>
        <v>0</v>
      </c>
    </row>
    <row r="15" spans="1:18">
      <c r="A15" s="65" t="s">
        <v>211</v>
      </c>
      <c r="B15" s="66"/>
      <c r="C15" s="67"/>
      <c r="D15" s="68"/>
      <c r="E15" s="67" t="str">
        <f>Traduction!A174</f>
        <v>GOULOTTE AVANT x3</v>
      </c>
      <c r="F15" s="59"/>
      <c r="G15" s="47">
        <f t="shared" si="1"/>
        <v>0</v>
      </c>
      <c r="H15" s="46">
        <v>1</v>
      </c>
      <c r="I15" s="8">
        <v>228</v>
      </c>
      <c r="J15" s="8">
        <f t="shared" si="0"/>
        <v>228</v>
      </c>
      <c r="K15" s="8">
        <f t="shared" si="2"/>
        <v>0</v>
      </c>
    </row>
    <row r="16" spans="1:18">
      <c r="A16" s="43" t="s">
        <v>210</v>
      </c>
      <c r="B16" s="40"/>
      <c r="C16" s="9"/>
      <c r="D16" s="10"/>
      <c r="E16" s="9" t="str">
        <f>Traduction!A175</f>
        <v>GOULOTTE ARRIERE x2</v>
      </c>
      <c r="F16" s="59"/>
      <c r="G16" s="47">
        <f t="shared" si="1"/>
        <v>0</v>
      </c>
      <c r="H16" s="46">
        <v>1</v>
      </c>
      <c r="I16" s="11">
        <v>305</v>
      </c>
      <c r="J16" s="11">
        <f t="shared" si="0"/>
        <v>305</v>
      </c>
      <c r="K16" s="11">
        <f t="shared" si="2"/>
        <v>0</v>
      </c>
    </row>
    <row r="17" spans="1:11">
      <c r="A17" s="65" t="s">
        <v>209</v>
      </c>
      <c r="B17" s="66"/>
      <c r="C17" s="67"/>
      <c r="D17" s="68"/>
      <c r="E17" s="67" t="str">
        <f>Traduction!A176</f>
        <v>GOULOTTE ARRIERE x3</v>
      </c>
      <c r="F17" s="59"/>
      <c r="G17" s="47">
        <f t="shared" si="1"/>
        <v>0</v>
      </c>
      <c r="H17" s="46">
        <v>1</v>
      </c>
      <c r="I17" s="8">
        <v>450</v>
      </c>
      <c r="J17" s="8">
        <f t="shared" si="0"/>
        <v>450</v>
      </c>
      <c r="K17" s="8">
        <f t="shared" si="2"/>
        <v>0</v>
      </c>
    </row>
    <row r="18" spans="1:11">
      <c r="A18" s="43" t="s">
        <v>208</v>
      </c>
      <c r="B18" s="40"/>
      <c r="C18" s="9"/>
      <c r="D18" s="10"/>
      <c r="E18" s="9" t="str">
        <f>Traduction!A177</f>
        <v>SPOILER x2</v>
      </c>
      <c r="F18" s="59"/>
      <c r="G18" s="47">
        <f t="shared" si="1"/>
        <v>0</v>
      </c>
      <c r="H18" s="46">
        <v>1</v>
      </c>
      <c r="I18" s="11">
        <v>267</v>
      </c>
      <c r="J18" s="11">
        <f t="shared" si="0"/>
        <v>267</v>
      </c>
      <c r="K18" s="11">
        <f t="shared" ref="K18:K22" si="3">ROUNDUP(G18/H18,0)*H18*J18</f>
        <v>0</v>
      </c>
    </row>
    <row r="19" spans="1:11">
      <c r="A19" s="65" t="s">
        <v>207</v>
      </c>
      <c r="B19" s="66"/>
      <c r="C19" s="67"/>
      <c r="D19" s="68"/>
      <c r="E19" s="67" t="str">
        <f>Traduction!A178</f>
        <v>SPOILER x3</v>
      </c>
      <c r="F19" s="59"/>
      <c r="G19" s="47">
        <f t="shared" si="1"/>
        <v>0</v>
      </c>
      <c r="H19" s="46">
        <v>1</v>
      </c>
      <c r="I19" s="8">
        <v>390</v>
      </c>
      <c r="J19" s="8">
        <f t="shared" si="0"/>
        <v>390</v>
      </c>
      <c r="K19" s="8">
        <f t="shared" si="3"/>
        <v>0</v>
      </c>
    </row>
    <row r="20" spans="1:11">
      <c r="A20" s="43" t="s">
        <v>206</v>
      </c>
      <c r="B20" s="40"/>
      <c r="C20" s="9"/>
      <c r="D20" s="10"/>
      <c r="E20" s="9" t="str">
        <f>Traduction!A179</f>
        <v>ASS.SPOILER x2</v>
      </c>
      <c r="F20" s="59"/>
      <c r="G20" s="47">
        <f t="shared" si="1"/>
        <v>0</v>
      </c>
      <c r="H20" s="46">
        <v>1</v>
      </c>
      <c r="I20" s="11">
        <v>430</v>
      </c>
      <c r="J20" s="11">
        <f t="shared" si="0"/>
        <v>430</v>
      </c>
      <c r="K20" s="11">
        <f t="shared" si="3"/>
        <v>0</v>
      </c>
    </row>
    <row r="21" spans="1:11">
      <c r="A21" s="65" t="s">
        <v>205</v>
      </c>
      <c r="B21" s="66"/>
      <c r="C21" s="67"/>
      <c r="D21" s="68"/>
      <c r="E21" s="67" t="str">
        <f>Traduction!A180</f>
        <v>ASS.SPOILER x3</v>
      </c>
      <c r="F21" s="59"/>
      <c r="G21" s="47">
        <f t="shared" si="1"/>
        <v>0</v>
      </c>
      <c r="H21" s="46">
        <v>1</v>
      </c>
      <c r="I21" s="8">
        <v>623</v>
      </c>
      <c r="J21" s="8">
        <f t="shared" si="0"/>
        <v>623</v>
      </c>
      <c r="K21" s="8">
        <f t="shared" si="3"/>
        <v>0</v>
      </c>
    </row>
    <row r="22" spans="1:11">
      <c r="A22" s="43" t="s">
        <v>204</v>
      </c>
      <c r="B22" s="40"/>
      <c r="C22" s="9"/>
      <c r="D22" s="10"/>
      <c r="E22" s="9" t="str">
        <f>Traduction!A181</f>
        <v>U ETANCHEITE INTER RANGEES x2</v>
      </c>
      <c r="F22" s="59"/>
      <c r="G22" s="47">
        <f t="shared" si="1"/>
        <v>0</v>
      </c>
      <c r="H22" s="46">
        <v>1</v>
      </c>
      <c r="I22" s="11">
        <v>150</v>
      </c>
      <c r="J22" s="11">
        <f t="shared" si="0"/>
        <v>150</v>
      </c>
      <c r="K22" s="11">
        <f t="shared" si="3"/>
        <v>0</v>
      </c>
    </row>
    <row r="23" spans="1:11">
      <c r="A23" s="65" t="s">
        <v>203</v>
      </c>
      <c r="B23" s="66"/>
      <c r="C23" s="67"/>
      <c r="D23" s="68"/>
      <c r="E23" s="67" t="str">
        <f>Traduction!A182</f>
        <v>U ETANCHEITE INTER RANGEES x3</v>
      </c>
      <c r="F23" s="59"/>
      <c r="G23" s="47">
        <f t="shared" si="1"/>
        <v>0</v>
      </c>
      <c r="H23" s="46">
        <v>1</v>
      </c>
      <c r="I23" s="8">
        <v>216</v>
      </c>
      <c r="J23" s="8">
        <f t="shared" si="0"/>
        <v>216</v>
      </c>
      <c r="K23" s="8"/>
    </row>
    <row r="24" spans="1:11">
      <c r="A24" s="43"/>
      <c r="B24" s="40"/>
      <c r="C24" s="9"/>
      <c r="D24" s="10"/>
      <c r="E24" s="9"/>
      <c r="F24" s="64"/>
      <c r="G24" s="47"/>
      <c r="H24" s="46"/>
      <c r="I24" s="11"/>
      <c r="J24" s="11"/>
      <c r="K24" s="11"/>
    </row>
    <row r="25" spans="1:11">
      <c r="A25" s="42"/>
      <c r="B25" s="40"/>
      <c r="C25" s="9"/>
      <c r="D25" s="10"/>
      <c r="E25" s="9"/>
      <c r="F25" s="64"/>
      <c r="G25" s="47"/>
      <c r="H25" s="46"/>
      <c r="I25" s="11"/>
      <c r="J25" s="11"/>
      <c r="K25" s="11"/>
    </row>
    <row r="26" spans="1:11">
      <c r="A26" s="43" t="s">
        <v>202</v>
      </c>
      <c r="B26" s="40"/>
      <c r="C26" s="9"/>
      <c r="D26" s="10"/>
      <c r="E26" s="9" t="str">
        <f>Traduction!A183</f>
        <v>U ETANCHEITE INTER MODULE</v>
      </c>
      <c r="F26" s="64"/>
      <c r="G26" s="47">
        <f t="shared" si="1"/>
        <v>0</v>
      </c>
      <c r="H26" s="46">
        <v>1</v>
      </c>
      <c r="I26" s="11">
        <v>59</v>
      </c>
      <c r="J26" s="11">
        <f t="shared" ref="J26:J35" si="4">I26*(1-$I$51)</f>
        <v>59</v>
      </c>
      <c r="K26" s="11">
        <f t="shared" ref="K26:K32" si="5">ROUNDUP(G26/H26,0)*H26*J26</f>
        <v>0</v>
      </c>
    </row>
    <row r="27" spans="1:11">
      <c r="A27" s="42" t="s">
        <v>201</v>
      </c>
      <c r="B27" s="39"/>
      <c r="C27" s="6"/>
      <c r="D27" s="7"/>
      <c r="E27" s="6" t="str">
        <f>Traduction!A184</f>
        <v>CALLE SERRE PANNEAU</v>
      </c>
      <c r="F27" s="59"/>
      <c r="G27" s="47">
        <f t="shared" si="1"/>
        <v>0</v>
      </c>
      <c r="H27" s="46">
        <v>10</v>
      </c>
      <c r="I27" s="8">
        <v>11</v>
      </c>
      <c r="J27" s="8">
        <f t="shared" si="4"/>
        <v>11</v>
      </c>
      <c r="K27" s="8">
        <f t="shared" si="5"/>
        <v>0</v>
      </c>
    </row>
    <row r="28" spans="1:11">
      <c r="A28" s="43" t="s">
        <v>200</v>
      </c>
      <c r="B28" s="40"/>
      <c r="C28" s="9"/>
      <c r="D28" s="10"/>
      <c r="E28" s="9" t="str">
        <f>Traduction!A185</f>
        <v>FERMETURE SPOILER</v>
      </c>
      <c r="F28" s="59"/>
      <c r="G28" s="47">
        <f t="shared" si="1"/>
        <v>0</v>
      </c>
      <c r="H28" s="46">
        <v>2</v>
      </c>
      <c r="I28" s="11">
        <v>11</v>
      </c>
      <c r="J28" s="11">
        <f t="shared" si="4"/>
        <v>11</v>
      </c>
      <c r="K28" s="11">
        <f t="shared" si="5"/>
        <v>0</v>
      </c>
    </row>
    <row r="29" spans="1:11">
      <c r="A29" s="42" t="s">
        <v>199</v>
      </c>
      <c r="B29" s="39"/>
      <c r="C29" s="6"/>
      <c r="D29" s="7"/>
      <c r="E29" s="6" t="str">
        <f>Traduction!A186</f>
        <v>PLAQUE DE JOINT ETANCHEITE</v>
      </c>
      <c r="F29" s="59"/>
      <c r="G29" s="47">
        <f t="shared" si="1"/>
        <v>0</v>
      </c>
      <c r="H29" s="46">
        <v>1</v>
      </c>
      <c r="I29" s="8">
        <v>80</v>
      </c>
      <c r="J29" s="8">
        <f t="shared" si="4"/>
        <v>80</v>
      </c>
      <c r="K29" s="8">
        <f t="shared" si="5"/>
        <v>0</v>
      </c>
    </row>
    <row r="30" spans="1:11">
      <c r="A30" s="43" t="s">
        <v>198</v>
      </c>
      <c r="B30" s="40"/>
      <c r="C30" s="9"/>
      <c r="D30" s="10"/>
      <c r="E30" s="9" t="str">
        <f>Traduction!A187</f>
        <v>PLAQUE EQUERRAGE</v>
      </c>
      <c r="F30" s="59"/>
      <c r="G30" s="47">
        <f t="shared" si="1"/>
        <v>0</v>
      </c>
      <c r="H30" s="46">
        <v>2</v>
      </c>
      <c r="I30" s="11">
        <v>53</v>
      </c>
      <c r="J30" s="11">
        <f t="shared" si="4"/>
        <v>53</v>
      </c>
      <c r="K30" s="11">
        <f t="shared" si="5"/>
        <v>0</v>
      </c>
    </row>
    <row r="31" spans="1:11">
      <c r="A31" s="65" t="s">
        <v>197</v>
      </c>
      <c r="B31" s="66"/>
      <c r="C31" s="67"/>
      <c r="D31" s="68"/>
      <c r="E31" s="67" t="str">
        <f>Traduction!A188</f>
        <v>SORTIE DE CANIVEAU</v>
      </c>
      <c r="F31" s="59"/>
      <c r="G31" s="47">
        <f t="shared" si="1"/>
        <v>0</v>
      </c>
      <c r="H31" s="46">
        <v>2</v>
      </c>
      <c r="I31" s="8">
        <v>60</v>
      </c>
      <c r="J31" s="8">
        <f t="shared" si="4"/>
        <v>60</v>
      </c>
      <c r="K31" s="8">
        <f t="shared" si="5"/>
        <v>0</v>
      </c>
    </row>
    <row r="32" spans="1:11">
      <c r="A32" s="43" t="s">
        <v>196</v>
      </c>
      <c r="B32" s="40"/>
      <c r="C32" s="9"/>
      <c r="D32" s="10"/>
      <c r="E32" s="9" t="str">
        <f>Traduction!A189</f>
        <v>COMPRIBANDE TRS 15/1-3</v>
      </c>
      <c r="F32" s="59"/>
      <c r="G32" s="47">
        <f t="shared" si="1"/>
        <v>0</v>
      </c>
      <c r="H32" s="46">
        <v>5</v>
      </c>
      <c r="I32" s="11">
        <v>20</v>
      </c>
      <c r="J32" s="11">
        <f t="shared" si="4"/>
        <v>20</v>
      </c>
      <c r="K32" s="11">
        <f t="shared" si="5"/>
        <v>0</v>
      </c>
    </row>
    <row r="33" spans="1:11">
      <c r="A33" s="65" t="s">
        <v>195</v>
      </c>
      <c r="B33" s="66"/>
      <c r="C33" s="67"/>
      <c r="D33" s="68"/>
      <c r="E33" s="67" t="str">
        <f>Traduction!A190</f>
        <v>OUTILLAGE DE MONTAGE</v>
      </c>
      <c r="F33" s="59"/>
      <c r="G33" s="47">
        <f t="shared" si="1"/>
        <v>0</v>
      </c>
      <c r="H33" s="46">
        <v>1</v>
      </c>
      <c r="I33" s="8">
        <v>60</v>
      </c>
      <c r="J33" s="8">
        <f t="shared" si="4"/>
        <v>60</v>
      </c>
      <c r="K33" s="8">
        <f t="shared" ref="K33:K47" si="6">ROUNDUP(G33/H33,0)*H33*J33</f>
        <v>0</v>
      </c>
    </row>
    <row r="34" spans="1:11">
      <c r="A34" s="43" t="s">
        <v>226</v>
      </c>
      <c r="B34" s="40"/>
      <c r="C34" s="9"/>
      <c r="D34" s="10"/>
      <c r="E34" s="9" t="str">
        <f>Traduction!A191</f>
        <v>FINITION LAT. LIGNE AV.+AR.</v>
      </c>
      <c r="F34" s="59"/>
      <c r="G34" s="47">
        <f t="shared" si="1"/>
        <v>0</v>
      </c>
      <c r="H34" s="46">
        <v>1</v>
      </c>
      <c r="I34" s="11">
        <v>214</v>
      </c>
      <c r="J34" s="11">
        <f t="shared" si="4"/>
        <v>214</v>
      </c>
      <c r="K34" s="11">
        <f t="shared" si="6"/>
        <v>0</v>
      </c>
    </row>
    <row r="35" spans="1:11">
      <c r="A35" s="65" t="s">
        <v>227</v>
      </c>
      <c r="B35" s="66"/>
      <c r="C35" s="67"/>
      <c r="D35" s="68"/>
      <c r="E35" s="67" t="str">
        <f>Traduction!A192</f>
        <v>FINITION LAT. A+ 1 LIGNE</v>
      </c>
      <c r="F35" s="59"/>
      <c r="G35" s="47">
        <f t="shared" si="1"/>
        <v>0</v>
      </c>
      <c r="H35" s="46">
        <v>1</v>
      </c>
      <c r="I35" s="8">
        <v>117</v>
      </c>
      <c r="J35" s="8">
        <f t="shared" si="4"/>
        <v>117</v>
      </c>
      <c r="K35" s="8">
        <f t="shared" si="6"/>
        <v>0</v>
      </c>
    </row>
    <row r="36" spans="1:11">
      <c r="A36" s="43"/>
      <c r="B36" s="40"/>
      <c r="C36" s="9"/>
      <c r="D36" s="10"/>
      <c r="E36" s="9"/>
      <c r="F36" s="64"/>
      <c r="G36" s="47"/>
      <c r="H36" s="46"/>
      <c r="I36" s="11"/>
      <c r="J36" s="11"/>
      <c r="K36" s="11"/>
    </row>
    <row r="37" spans="1:11">
      <c r="A37" s="43"/>
      <c r="B37" s="40"/>
      <c r="C37" s="9"/>
      <c r="D37" s="10"/>
      <c r="E37" s="9"/>
      <c r="F37" s="64"/>
      <c r="G37" s="47"/>
      <c r="H37" s="46"/>
      <c r="I37" s="11"/>
      <c r="J37" s="11"/>
      <c r="K37" s="11"/>
    </row>
    <row r="38" spans="1:11">
      <c r="A38" s="43" t="s">
        <v>216</v>
      </c>
      <c r="B38" s="40"/>
      <c r="C38" s="9"/>
      <c r="D38" s="10"/>
      <c r="E38" s="9" t="str">
        <f>Traduction!A193</f>
        <v>GOULOTTE AVANT x2</v>
      </c>
      <c r="F38" s="59"/>
      <c r="G38" s="47">
        <f t="shared" si="1"/>
        <v>0</v>
      </c>
      <c r="H38" s="46">
        <v>1</v>
      </c>
      <c r="I38" s="11">
        <v>158</v>
      </c>
      <c r="J38" s="11">
        <f t="shared" ref="J38:J44" si="7">I38*(1-$I$51)</f>
        <v>158</v>
      </c>
      <c r="K38" s="11">
        <f t="shared" si="6"/>
        <v>0</v>
      </c>
    </row>
    <row r="39" spans="1:11">
      <c r="A39" s="65" t="s">
        <v>218</v>
      </c>
      <c r="B39" s="66"/>
      <c r="C39" s="67"/>
      <c r="D39" s="68"/>
      <c r="E39" s="67" t="str">
        <f>Traduction!A194</f>
        <v>GOULOTTE AVANT x3</v>
      </c>
      <c r="F39" s="59"/>
      <c r="G39" s="47">
        <f t="shared" si="1"/>
        <v>0</v>
      </c>
      <c r="H39" s="46">
        <v>1</v>
      </c>
      <c r="I39" s="8">
        <v>228</v>
      </c>
      <c r="J39" s="11">
        <f t="shared" si="7"/>
        <v>228</v>
      </c>
      <c r="K39" s="11">
        <f t="shared" si="6"/>
        <v>0</v>
      </c>
    </row>
    <row r="40" spans="1:11">
      <c r="A40" s="43" t="s">
        <v>217</v>
      </c>
      <c r="B40" s="40"/>
      <c r="C40" s="9"/>
      <c r="D40" s="10"/>
      <c r="E40" s="9" t="str">
        <f>Traduction!A195</f>
        <v>GOULOTTE ARRIERE x2</v>
      </c>
      <c r="F40" s="59"/>
      <c r="G40" s="47">
        <f t="shared" si="1"/>
        <v>0</v>
      </c>
      <c r="H40" s="46">
        <v>1</v>
      </c>
      <c r="I40" s="11">
        <v>305</v>
      </c>
      <c r="J40" s="11">
        <f t="shared" si="7"/>
        <v>305</v>
      </c>
      <c r="K40" s="11">
        <f t="shared" si="6"/>
        <v>0</v>
      </c>
    </row>
    <row r="41" spans="1:11">
      <c r="A41" s="65" t="s">
        <v>219</v>
      </c>
      <c r="B41" s="66"/>
      <c r="C41" s="67"/>
      <c r="D41" s="68"/>
      <c r="E41" s="67" t="str">
        <f>Traduction!A196</f>
        <v>GOULOTTE ARRIERE x3</v>
      </c>
      <c r="F41" s="59"/>
      <c r="G41" s="47">
        <f t="shared" si="1"/>
        <v>0</v>
      </c>
      <c r="H41" s="46">
        <v>1</v>
      </c>
      <c r="I41" s="8">
        <v>450</v>
      </c>
      <c r="J41" s="11">
        <f t="shared" si="7"/>
        <v>450</v>
      </c>
      <c r="K41" s="11">
        <f t="shared" si="6"/>
        <v>0</v>
      </c>
    </row>
    <row r="42" spans="1:11">
      <c r="A42" s="43" t="s">
        <v>220</v>
      </c>
      <c r="B42" s="40"/>
      <c r="C42" s="9"/>
      <c r="D42" s="10"/>
      <c r="E42" s="9" t="str">
        <f>Traduction!A197</f>
        <v>SPOILER x2</v>
      </c>
      <c r="F42" s="59"/>
      <c r="G42" s="47">
        <f t="shared" si="1"/>
        <v>0</v>
      </c>
      <c r="H42" s="46">
        <v>1</v>
      </c>
      <c r="I42" s="11">
        <v>267</v>
      </c>
      <c r="J42" s="11">
        <f t="shared" si="7"/>
        <v>267</v>
      </c>
      <c r="K42" s="11">
        <f t="shared" si="6"/>
        <v>0</v>
      </c>
    </row>
    <row r="43" spans="1:11">
      <c r="A43" s="65" t="s">
        <v>221</v>
      </c>
      <c r="B43" s="66"/>
      <c r="C43" s="67"/>
      <c r="D43" s="68"/>
      <c r="E43" s="67" t="str">
        <f>Traduction!A198</f>
        <v>SPOILER x3</v>
      </c>
      <c r="F43" s="59"/>
      <c r="G43" s="47">
        <f t="shared" si="1"/>
        <v>0</v>
      </c>
      <c r="H43" s="46">
        <v>1</v>
      </c>
      <c r="I43" s="8">
        <v>390</v>
      </c>
      <c r="J43" s="11">
        <f t="shared" si="7"/>
        <v>390</v>
      </c>
      <c r="K43" s="11">
        <f t="shared" si="6"/>
        <v>0</v>
      </c>
    </row>
    <row r="44" spans="1:11">
      <c r="A44" s="43" t="s">
        <v>224</v>
      </c>
      <c r="B44" s="40"/>
      <c r="C44" s="9"/>
      <c r="D44" s="10"/>
      <c r="E44" s="9" t="str">
        <f>Traduction!A199</f>
        <v>ASS.SPOILER x2</v>
      </c>
      <c r="F44" s="59"/>
      <c r="G44" s="47">
        <f t="shared" si="1"/>
        <v>0</v>
      </c>
      <c r="H44" s="46">
        <v>1</v>
      </c>
      <c r="I44" s="11">
        <v>430</v>
      </c>
      <c r="J44" s="11">
        <f t="shared" si="7"/>
        <v>430</v>
      </c>
      <c r="K44" s="11">
        <f t="shared" si="6"/>
        <v>0</v>
      </c>
    </row>
    <row r="45" spans="1:11">
      <c r="A45" s="65" t="s">
        <v>225</v>
      </c>
      <c r="B45" s="66"/>
      <c r="C45" s="67"/>
      <c r="D45" s="68"/>
      <c r="E45" s="67" t="str">
        <f>Traduction!A200</f>
        <v>ASS.SPOILER x3</v>
      </c>
      <c r="F45" s="59"/>
      <c r="G45" s="47">
        <f t="shared" si="1"/>
        <v>0</v>
      </c>
      <c r="H45" s="46">
        <v>1</v>
      </c>
      <c r="I45" s="8">
        <v>623</v>
      </c>
      <c r="J45" s="11">
        <f t="shared" ref="J45:J47" si="8">I45*(1-$I$51)</f>
        <v>623</v>
      </c>
      <c r="K45" s="11">
        <f t="shared" si="6"/>
        <v>0</v>
      </c>
    </row>
    <row r="46" spans="1:11">
      <c r="A46" s="43" t="s">
        <v>223</v>
      </c>
      <c r="B46" s="40"/>
      <c r="C46" s="9"/>
      <c r="D46" s="10"/>
      <c r="E46" s="9" t="str">
        <f>Traduction!A201</f>
        <v>U ETANCHEITE INTER RANGEES x2</v>
      </c>
      <c r="F46" s="59"/>
      <c r="G46" s="47">
        <f t="shared" si="1"/>
        <v>0</v>
      </c>
      <c r="H46" s="46">
        <v>1</v>
      </c>
      <c r="I46" s="11">
        <v>150</v>
      </c>
      <c r="J46" s="11">
        <f t="shared" si="8"/>
        <v>150</v>
      </c>
      <c r="K46" s="11">
        <f t="shared" si="6"/>
        <v>0</v>
      </c>
    </row>
    <row r="47" spans="1:11">
      <c r="A47" s="65" t="s">
        <v>222</v>
      </c>
      <c r="B47" s="66"/>
      <c r="C47" s="67"/>
      <c r="D47" s="68"/>
      <c r="E47" s="67" t="str">
        <f>Traduction!A202</f>
        <v>U ETANCHEITE INTER RANGEES x3</v>
      </c>
      <c r="F47" s="59"/>
      <c r="G47" s="47">
        <f t="shared" si="1"/>
        <v>0</v>
      </c>
      <c r="H47" s="46">
        <v>1</v>
      </c>
      <c r="I47" s="11">
        <v>216</v>
      </c>
      <c r="J47" s="11">
        <f t="shared" si="8"/>
        <v>216</v>
      </c>
      <c r="K47" s="11">
        <f t="shared" si="6"/>
        <v>0</v>
      </c>
    </row>
    <row r="48" spans="1:11">
      <c r="A48" s="43"/>
      <c r="B48" s="40"/>
      <c r="C48" s="9"/>
      <c r="D48" s="10"/>
      <c r="E48" s="9"/>
      <c r="F48" s="64"/>
      <c r="G48" s="47"/>
      <c r="H48" s="46"/>
      <c r="I48" s="11"/>
      <c r="J48" s="11"/>
      <c r="K48" s="11"/>
    </row>
    <row r="49" spans="1:13" ht="15.75" thickBot="1">
      <c r="A49" s="43"/>
      <c r="B49" s="40"/>
      <c r="C49" s="9"/>
      <c r="D49" s="10"/>
      <c r="E49" s="9"/>
      <c r="F49" s="10"/>
      <c r="G49" s="47"/>
      <c r="H49" s="46"/>
      <c r="I49" s="60"/>
      <c r="J49" s="60"/>
      <c r="K49" s="60"/>
    </row>
    <row r="50" spans="1:13">
      <c r="A50" s="44"/>
      <c r="B50" s="40"/>
      <c r="C50" s="13"/>
      <c r="D50" s="13"/>
      <c r="E50" s="14" t="str">
        <f>Traduction!A56</f>
        <v>Prix Public par pergola €HT</v>
      </c>
      <c r="F50" s="53"/>
      <c r="G50" s="47"/>
      <c r="I50" s="14" t="str">
        <f>Traduction!A58</f>
        <v>Remise client</v>
      </c>
      <c r="J50" s="2" t="str">
        <f>Traduction!A113</f>
        <v>Total commande €HT</v>
      </c>
      <c r="K50" s="18">
        <f>SUM(K11:K49)</f>
        <v>0</v>
      </c>
    </row>
    <row r="51" spans="1:13" ht="15.75" thickBot="1">
      <c r="A51" s="45"/>
      <c r="B51" s="41"/>
      <c r="C51" s="15"/>
      <c r="D51" s="15"/>
      <c r="E51" s="16" t="str">
        <f>Traduction!A57</f>
        <v>Prix par pergola après remise €HT</v>
      </c>
      <c r="F51" s="54"/>
      <c r="G51" s="47"/>
      <c r="H51" s="17"/>
      <c r="I51" s="19">
        <v>0</v>
      </c>
    </row>
    <row r="52" spans="1:13" ht="15.75" thickBot="1">
      <c r="E52" s="49" t="str">
        <f>Traduction!A64</f>
        <v>Poids (Kg)</v>
      </c>
      <c r="F52" s="55"/>
    </row>
    <row r="53" spans="1:13">
      <c r="F53" s="48"/>
      <c r="G53" s="48"/>
      <c r="H53" s="48"/>
      <c r="I53" s="48"/>
      <c r="J53" s="48"/>
      <c r="K53" s="48"/>
      <c r="L53" s="48"/>
      <c r="M53" s="48"/>
    </row>
    <row r="54" spans="1:13">
      <c r="F54" s="18"/>
      <c r="G54" s="18"/>
      <c r="H54" s="18"/>
      <c r="I54" s="18"/>
      <c r="J54" s="18"/>
      <c r="K54" s="18"/>
      <c r="L54" s="18"/>
      <c r="M54" s="18"/>
    </row>
    <row r="55" spans="1:13">
      <c r="E55" s="12"/>
      <c r="F55" s="12"/>
      <c r="G55" s="12"/>
      <c r="H55" s="12"/>
      <c r="I55" s="12"/>
    </row>
  </sheetData>
  <sheetProtection sheet="1" objects="1" scenarios="1"/>
  <customSheetViews>
    <customSheetView guid="{D8D7B009-33DC-454B-9FCD-4FE65C8432CF}" scale="70" fitToPage="1" state="hidden">
      <selection activeCell="I36" sqref="I36"/>
      <pageMargins left="0.7" right="0.7" top="0.75" bottom="0.75" header="0.3" footer="0.3"/>
      <pageSetup paperSize="9" scale="43" orientation="landscape" r:id="rId1"/>
    </customSheetView>
  </customSheetViews>
  <mergeCells count="5">
    <mergeCell ref="A9:R9"/>
    <mergeCell ref="A10:B10"/>
    <mergeCell ref="A2:C2"/>
    <mergeCell ref="E3:L3"/>
    <mergeCell ref="E5:L5"/>
  </mergeCells>
  <pageMargins left="0.7" right="0.7" top="0.75" bottom="0.75" header="0.3" footer="0.3"/>
  <pageSetup paperSize="9" scale="43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Drop Down 1">
              <controlPr locked="0" defaultSize="0" autoLine="0" autoPict="0">
                <anchor moveWithCells="1">
                  <from>
                    <xdr:col>0</xdr:col>
                    <xdr:colOff>0</xdr:colOff>
                    <xdr:row>1</xdr:row>
                    <xdr:rowOff>104775</xdr:rowOff>
                  </from>
                  <to>
                    <xdr:col>2</xdr:col>
                    <xdr:colOff>57150</xdr:colOff>
                    <xdr:row>1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0"/>
  <dimension ref="A3:N19"/>
  <sheetViews>
    <sheetView showGridLines="0" topLeftCell="A13" workbookViewId="0">
      <selection activeCell="C35" sqref="C35"/>
    </sheetView>
  </sheetViews>
  <sheetFormatPr baseColWidth="10" defaultRowHeight="15"/>
  <cols>
    <col min="1" max="1" width="16.7109375" customWidth="1"/>
    <col min="2" max="2" width="24.5703125" customWidth="1"/>
    <col min="3" max="3" width="38.5703125" customWidth="1"/>
    <col min="4" max="4" width="15.85546875" bestFit="1" customWidth="1"/>
    <col min="6" max="6" width="41.5703125" customWidth="1"/>
    <col min="7" max="7" width="14.85546875" customWidth="1"/>
    <col min="8" max="8" width="14.28515625" customWidth="1"/>
    <col min="11" max="11" width="13.140625" customWidth="1"/>
    <col min="13" max="13" width="14" customWidth="1"/>
    <col min="14" max="14" width="15" customWidth="1"/>
  </cols>
  <sheetData>
    <row r="3" spans="1:14" ht="15.75" thickBot="1"/>
    <row r="4" spans="1:14" ht="15.75" thickBot="1">
      <c r="A4" s="734" t="s">
        <v>693</v>
      </c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6"/>
    </row>
    <row r="5" spans="1:14" ht="25.5" thickBot="1">
      <c r="A5" s="324" t="str">
        <f>Traduction!$A$31</f>
        <v>Référence</v>
      </c>
      <c r="B5" s="324" t="str">
        <f>Traduction!A32</f>
        <v>Référence distributeur</v>
      </c>
      <c r="C5" s="324" t="str">
        <f>Traduction!A33</f>
        <v>Description produit</v>
      </c>
      <c r="D5" s="325" t="str">
        <f>Traduction!A35</f>
        <v>Dimensions colis</v>
      </c>
      <c r="E5" s="325" t="str">
        <f>Traduction!A36</f>
        <v>Poids (Kg)</v>
      </c>
      <c r="F5" s="325" t="str">
        <f>Traduction!A37</f>
        <v>Désignation</v>
      </c>
      <c r="G5" s="326" t="str">
        <f>Traduction!A39</f>
        <v>Qté /Pergola</v>
      </c>
      <c r="H5" s="326" t="str">
        <f>Traduction!A143</f>
        <v>Complément</v>
      </c>
      <c r="I5" s="326" t="str">
        <f>Traduction!A38</f>
        <v>Qté Totale</v>
      </c>
      <c r="J5" s="326" t="str">
        <f>Traduction!A40</f>
        <v>UDV</v>
      </c>
      <c r="K5" s="327" t="str">
        <f>Traduction!A41</f>
        <v>Prix Public unitaire €HT</v>
      </c>
      <c r="L5" s="327" t="str">
        <f>Traduction!A42</f>
        <v>Prix Total €HT</v>
      </c>
      <c r="M5" s="328" t="str">
        <f>+Traduction!A43</f>
        <v>Prix unitaire après remise €HT</v>
      </c>
      <c r="N5" s="328" t="str">
        <f>+Traduction!A141</f>
        <v>Prix total après remise €HT</v>
      </c>
    </row>
    <row r="6" spans="1:14">
      <c r="A6" s="313" t="s">
        <v>766</v>
      </c>
      <c r="B6" s="314"/>
      <c r="C6" s="314" t="s">
        <v>697</v>
      </c>
      <c r="D6" s="315"/>
      <c r="E6" s="315"/>
      <c r="F6" s="314"/>
      <c r="G6" s="317" t="e">
        <f>'Nomenclature CONFORT'!#REF!</f>
        <v>#REF!</v>
      </c>
      <c r="H6" s="316"/>
      <c r="I6" s="316" t="e">
        <f>G6*$G$8</f>
        <v>#REF!</v>
      </c>
      <c r="J6" s="316">
        <v>1</v>
      </c>
      <c r="K6" s="318"/>
      <c r="L6" s="319"/>
      <c r="M6" s="318"/>
      <c r="N6" s="319"/>
    </row>
    <row r="7" spans="1:14">
      <c r="A7" s="313" t="s">
        <v>766</v>
      </c>
      <c r="B7" s="310"/>
      <c r="C7" s="314" t="s">
        <v>697</v>
      </c>
      <c r="D7" s="307"/>
      <c r="E7" s="307"/>
      <c r="F7" s="310"/>
      <c r="G7" s="317" t="e">
        <f>'Nomenclature CONFORT'!#REF!</f>
        <v>#REF!</v>
      </c>
      <c r="H7" s="311"/>
      <c r="I7" s="311" t="e">
        <f t="shared" ref="I7:I16" si="0">G7*$G$8</f>
        <v>#REF!</v>
      </c>
      <c r="J7" s="311">
        <v>1</v>
      </c>
      <c r="K7" s="308"/>
      <c r="L7" s="309"/>
      <c r="M7" s="308"/>
      <c r="N7" s="309"/>
    </row>
    <row r="8" spans="1:14">
      <c r="A8" s="313" t="s">
        <v>766</v>
      </c>
      <c r="B8" s="310"/>
      <c r="C8" s="310" t="s">
        <v>680</v>
      </c>
      <c r="D8" s="307"/>
      <c r="E8" s="307"/>
      <c r="F8" s="310"/>
      <c r="G8" s="317" t="e">
        <f>'Nomenclature CONFORT'!#REF!</f>
        <v>#REF!</v>
      </c>
      <c r="H8" s="311"/>
      <c r="I8" s="311" t="e">
        <f t="shared" si="0"/>
        <v>#REF!</v>
      </c>
      <c r="J8" s="311">
        <v>1</v>
      </c>
      <c r="K8" s="308"/>
      <c r="L8" s="309"/>
      <c r="M8" s="308"/>
      <c r="N8" s="309"/>
    </row>
    <row r="9" spans="1:14">
      <c r="A9" s="313" t="s">
        <v>766</v>
      </c>
      <c r="B9" s="310"/>
      <c r="C9" s="310" t="s">
        <v>680</v>
      </c>
      <c r="D9" s="307"/>
      <c r="E9" s="307"/>
      <c r="F9" s="310"/>
      <c r="G9" s="317" t="e">
        <f>'Nomenclature CONFORT'!#REF!</f>
        <v>#REF!</v>
      </c>
      <c r="H9" s="311"/>
      <c r="I9" s="311" t="e">
        <f t="shared" si="0"/>
        <v>#REF!</v>
      </c>
      <c r="J9" s="311">
        <v>1</v>
      </c>
      <c r="K9" s="308"/>
      <c r="L9" s="309"/>
      <c r="M9" s="308"/>
      <c r="N9" s="309"/>
    </row>
    <row r="10" spans="1:14">
      <c r="A10" s="313" t="s">
        <v>766</v>
      </c>
      <c r="B10" s="310"/>
      <c r="C10" s="310" t="s">
        <v>698</v>
      </c>
      <c r="D10" s="307"/>
      <c r="E10" s="307"/>
      <c r="F10" s="310"/>
      <c r="G10" s="312"/>
      <c r="H10" s="311"/>
      <c r="I10" s="311" t="e">
        <f t="shared" si="0"/>
        <v>#REF!</v>
      </c>
      <c r="J10" s="311">
        <v>1</v>
      </c>
      <c r="K10" s="308"/>
      <c r="L10" s="309"/>
      <c r="M10" s="308"/>
      <c r="N10" s="309"/>
    </row>
    <row r="11" spans="1:14">
      <c r="A11" s="313" t="s">
        <v>766</v>
      </c>
      <c r="B11" s="310"/>
      <c r="C11" s="310" t="s">
        <v>698</v>
      </c>
      <c r="D11" s="307"/>
      <c r="E11" s="307"/>
      <c r="F11" s="310"/>
      <c r="G11" s="312"/>
      <c r="H11" s="311"/>
      <c r="I11" s="311" t="e">
        <f t="shared" si="0"/>
        <v>#REF!</v>
      </c>
      <c r="J11" s="311">
        <v>1</v>
      </c>
      <c r="K11" s="308"/>
      <c r="L11" s="309"/>
      <c r="M11" s="308"/>
      <c r="N11" s="309"/>
    </row>
    <row r="12" spans="1:14">
      <c r="A12" s="313" t="s">
        <v>766</v>
      </c>
      <c r="B12" s="310"/>
      <c r="C12" s="310" t="s">
        <v>698</v>
      </c>
      <c r="D12" s="307"/>
      <c r="E12" s="307"/>
      <c r="F12" s="310"/>
      <c r="G12" s="312"/>
      <c r="H12" s="311"/>
      <c r="I12" s="311" t="e">
        <f t="shared" si="0"/>
        <v>#REF!</v>
      </c>
      <c r="J12" s="311">
        <v>1</v>
      </c>
      <c r="K12" s="308"/>
      <c r="L12" s="309"/>
      <c r="M12" s="308"/>
      <c r="N12" s="309"/>
    </row>
    <row r="13" spans="1:14">
      <c r="A13" s="313" t="s">
        <v>766</v>
      </c>
      <c r="B13" s="310"/>
      <c r="C13" s="310" t="s">
        <v>680</v>
      </c>
      <c r="D13" s="307"/>
      <c r="E13" s="307"/>
      <c r="F13" s="310"/>
      <c r="G13" s="312"/>
      <c r="H13" s="311"/>
      <c r="I13" s="311" t="e">
        <f t="shared" si="0"/>
        <v>#REF!</v>
      </c>
      <c r="J13" s="311">
        <v>1</v>
      </c>
      <c r="K13" s="308"/>
      <c r="L13" s="309"/>
      <c r="M13" s="308"/>
      <c r="N13" s="309"/>
    </row>
    <row r="14" spans="1:14">
      <c r="A14" s="313" t="s">
        <v>766</v>
      </c>
      <c r="B14" s="310"/>
      <c r="C14" s="310" t="s">
        <v>680</v>
      </c>
      <c r="D14" s="307"/>
      <c r="E14" s="307"/>
      <c r="F14" s="310"/>
      <c r="G14" s="312"/>
      <c r="H14" s="311"/>
      <c r="I14" s="311" t="e">
        <f t="shared" si="0"/>
        <v>#REF!</v>
      </c>
      <c r="J14" s="311">
        <v>1</v>
      </c>
      <c r="K14" s="308"/>
      <c r="L14" s="309"/>
      <c r="M14" s="308"/>
      <c r="N14" s="309"/>
    </row>
    <row r="15" spans="1:14">
      <c r="A15" s="313" t="s">
        <v>766</v>
      </c>
      <c r="B15" s="310"/>
      <c r="C15" s="310" t="s">
        <v>681</v>
      </c>
      <c r="D15" s="307"/>
      <c r="E15" s="307"/>
      <c r="F15" s="310"/>
      <c r="G15" s="312"/>
      <c r="H15" s="311"/>
      <c r="I15" s="311" t="e">
        <f t="shared" si="0"/>
        <v>#REF!</v>
      </c>
      <c r="J15" s="311">
        <v>1</v>
      </c>
      <c r="K15" s="308"/>
      <c r="L15" s="309"/>
      <c r="M15" s="308"/>
      <c r="N15" s="309"/>
    </row>
    <row r="16" spans="1:14">
      <c r="A16" s="313" t="s">
        <v>766</v>
      </c>
      <c r="B16" s="310"/>
      <c r="C16" s="310" t="s">
        <v>680</v>
      </c>
      <c r="D16" s="307"/>
      <c r="E16" s="307"/>
      <c r="F16" s="310"/>
      <c r="G16" s="312"/>
      <c r="H16" s="311"/>
      <c r="I16" s="311" t="e">
        <f t="shared" si="0"/>
        <v>#REF!</v>
      </c>
      <c r="J16" s="311">
        <v>1</v>
      </c>
      <c r="K16" s="308"/>
      <c r="L16" s="309"/>
      <c r="M16" s="308"/>
      <c r="N16" s="309"/>
    </row>
    <row r="17" spans="1:14">
      <c r="A17" s="313" t="s">
        <v>766</v>
      </c>
      <c r="B17" s="310"/>
      <c r="C17" s="310" t="s">
        <v>680</v>
      </c>
      <c r="D17" s="307"/>
      <c r="E17" s="307"/>
      <c r="F17" s="310"/>
      <c r="G17" s="312"/>
      <c r="H17" s="311"/>
      <c r="I17" s="311" t="e">
        <f t="shared" ref="I17:I19" si="1">G17*$G$8</f>
        <v>#REF!</v>
      </c>
      <c r="J17" s="311">
        <v>1</v>
      </c>
      <c r="K17" s="308"/>
      <c r="L17" s="309"/>
      <c r="M17" s="308"/>
      <c r="N17" s="309"/>
    </row>
    <row r="18" spans="1:14">
      <c r="A18" s="313" t="s">
        <v>766</v>
      </c>
      <c r="B18" s="310"/>
      <c r="C18" s="310" t="s">
        <v>680</v>
      </c>
      <c r="D18" s="307"/>
      <c r="E18" s="307"/>
      <c r="F18" s="310"/>
      <c r="G18" s="312"/>
      <c r="H18" s="311"/>
      <c r="I18" s="311" t="e">
        <f t="shared" si="1"/>
        <v>#REF!</v>
      </c>
      <c r="J18" s="311">
        <v>1</v>
      </c>
      <c r="K18" s="308"/>
      <c r="L18" s="309"/>
      <c r="M18" s="308"/>
      <c r="N18" s="309"/>
    </row>
    <row r="19" spans="1:14">
      <c r="A19" s="313" t="s">
        <v>766</v>
      </c>
      <c r="B19" s="310"/>
      <c r="C19" s="310" t="s">
        <v>680</v>
      </c>
      <c r="D19" s="307"/>
      <c r="E19" s="307"/>
      <c r="F19" s="310"/>
      <c r="G19" s="312"/>
      <c r="H19" s="311"/>
      <c r="I19" s="311" t="e">
        <f t="shared" si="1"/>
        <v>#REF!</v>
      </c>
      <c r="J19" s="311">
        <v>1</v>
      </c>
      <c r="K19" s="308"/>
      <c r="L19" s="309"/>
      <c r="M19" s="308"/>
      <c r="N19" s="309"/>
    </row>
  </sheetData>
  <sheetProtection selectLockedCells="1"/>
  <customSheetViews>
    <customSheetView guid="{D8D7B009-33DC-454B-9FCD-4FE65C8432CF}">
      <selection activeCell="F33" sqref="F33"/>
      <pageMargins left="0.7" right="0.7" top="0.75" bottom="0.75" header="0.3" footer="0.3"/>
    </customSheetView>
  </customSheetViews>
  <mergeCells count="1">
    <mergeCell ref="A4:N4"/>
  </mergeCells>
  <conditionalFormatting sqref="A6:N19">
    <cfRule type="expression" dxfId="2" priority="1">
      <formula>$G6&gt;0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6</vt:i4>
      </vt:variant>
    </vt:vector>
  </HeadingPairs>
  <TitlesOfParts>
    <vt:vector size="18" baseType="lpstr">
      <vt:lpstr>Instructions</vt:lpstr>
      <vt:lpstr>Définition PERGOSOLAR</vt:lpstr>
      <vt:lpstr>Nomenclature CONFORT</vt:lpstr>
      <vt:lpstr>Vue rapide PG CONFORT</vt:lpstr>
      <vt:lpstr>Nomenclature HARMONY</vt:lpstr>
      <vt:lpstr>Vue rapide PG HARMONY</vt:lpstr>
      <vt:lpstr>Traduction</vt:lpstr>
      <vt:lpstr>SAV</vt:lpstr>
      <vt:lpstr>Liste Module  Onduleur,..</vt:lpstr>
      <vt:lpstr>Info</vt:lpstr>
      <vt:lpstr>Catalogue</vt:lpstr>
      <vt:lpstr>Feuil1</vt:lpstr>
      <vt:lpstr>Instructions!Zone_d_impression</vt:lpstr>
      <vt:lpstr>'Nomenclature CONFORT'!Zone_d_impression</vt:lpstr>
      <vt:lpstr>'Nomenclature HARMONY'!Zone_d_impression</vt:lpstr>
      <vt:lpstr>SAV!Zone_d_impression</vt:lpstr>
      <vt:lpstr>'Vue rapide PG CONFORT'!Zone_d_impression</vt:lpstr>
      <vt:lpstr>'Vue rapide PG HARMONY'!Zone_d_impression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franck.reuzeau@irfts.com</dc:creator>
  <cp:lastModifiedBy>Cécile</cp:lastModifiedBy>
  <cp:lastPrinted>2020-01-03T11:56:42Z</cp:lastPrinted>
  <dcterms:created xsi:type="dcterms:W3CDTF">2014-10-16T16:32:04Z</dcterms:created>
  <dcterms:modified xsi:type="dcterms:W3CDTF">2021-12-09T09:52:18Z</dcterms:modified>
</cp:coreProperties>
</file>